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РД\ФРИ\Боргояков\Наб.совет\2025\Март 28.03.25\Раздатка\Вопрос 1\"/>
    </mc:Choice>
  </mc:AlternateContent>
  <xr:revisionPtr revIDLastSave="0" documentId="13_ncr:1_{A23439C9-6809-4FAF-85B0-8B837E3E46AD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1.1.1" sheetId="16" r:id="rId1"/>
    <sheet name="1.1.2" sheetId="18" r:id="rId2"/>
    <sheet name="1.2.1 (новый)" sheetId="26" r:id="rId3"/>
    <sheet name="1.2.2 (новый)" sheetId="27" r:id="rId4"/>
    <sheet name="1.3" sheetId="17" r:id="rId5"/>
    <sheet name="1.4" sheetId="19" r:id="rId6"/>
    <sheet name="1.5" sheetId="31" r:id="rId7"/>
    <sheet name="1.6" sheetId="20" r:id="rId8"/>
    <sheet name="1.7" sheetId="21" r:id="rId9"/>
    <sheet name="1.8.1" sheetId="22" r:id="rId10"/>
    <sheet name="1.8.2" sheetId="24" r:id="rId11"/>
    <sheet name="1.9" sheetId="23" r:id="rId12"/>
    <sheet name="2.1" sheetId="3" r:id="rId13"/>
    <sheet name="2.2" sheetId="4" r:id="rId14"/>
    <sheet name="2.3" sheetId="5" r:id="rId15"/>
    <sheet name="2.4.1" sheetId="8" r:id="rId16"/>
    <sheet name="2.4.2" sheetId="9" r:id="rId17"/>
    <sheet name="2.4.3" sheetId="10" r:id="rId18"/>
    <sheet name="2.5.1" sheetId="11" r:id="rId19"/>
    <sheet name="2.5.2" sheetId="12" r:id="rId20"/>
    <sheet name="2.5.3" sheetId="13" r:id="rId21"/>
    <sheet name="2.5.4" sheetId="14" r:id="rId22"/>
    <sheet name="2.6" sheetId="15" r:id="rId23"/>
    <sheet name="ОС" sheetId="2" r:id="rId24"/>
    <sheet name="платные услуги" sheetId="25" r:id="rId25"/>
    <sheet name="платная деят-ть (ЦПП)" sheetId="29" r:id="rId26"/>
    <sheet name="ЖКУ по помещениям" sheetId="30" r:id="rId27"/>
  </sheets>
  <definedNames>
    <definedName name="_xlnm._FilterDatabase" localSheetId="17" hidden="1">'2.4.3'!$A$8:$AP$8</definedName>
    <definedName name="_xlnm._FilterDatabase" localSheetId="23" hidden="1">ОС!$A$1:$U$225</definedName>
    <definedName name="_xlnm._FilterDatabase" localSheetId="25" hidden="1">'платная деят-ть (ЦПП)'!$A$1:$D$86</definedName>
    <definedName name="_xlnm.Print_Titles" localSheetId="0">'1.1.1'!$42:$42</definedName>
    <definedName name="_xlnm.Print_Titles" localSheetId="1">'1.1.2'!$6:$6</definedName>
    <definedName name="_xlnm.Print_Titles" localSheetId="2">'1.2.1 (новый)'!$6:$8</definedName>
    <definedName name="_xlnm.Print_Titles" localSheetId="3">'1.2.2 (новый)'!$4:$8</definedName>
    <definedName name="_xlnm.Print_Titles" localSheetId="7">'1.6'!$7:$7</definedName>
    <definedName name="_xlnm.Print_Titles" localSheetId="8">'1.7'!$6:$6</definedName>
    <definedName name="_xlnm.Print_Titles" localSheetId="10">'1.8.2'!$A:$B</definedName>
    <definedName name="_xlnm.Print_Titles" localSheetId="12">'2.1'!$A:$B,'2.1'!$19:$19</definedName>
    <definedName name="_xlnm.Print_Titles" localSheetId="13">'2.2'!$A:$B</definedName>
    <definedName name="_xlnm.Print_Titles" localSheetId="15">'2.4.1'!$A:$D,'2.4.1'!$18:$18</definedName>
    <definedName name="_xlnm.Print_Titles" localSheetId="16">'2.4.2'!$7:$7</definedName>
    <definedName name="_xlnm.Print_Titles" localSheetId="17">'2.4.3'!$A:$D,'2.4.3'!$8:$8</definedName>
    <definedName name="_xlnm.Print_Titles" localSheetId="18">'2.5.1'!$D:$D,'2.5.1'!$18:$18</definedName>
    <definedName name="_xlnm.Print_Titles" localSheetId="19">'2.5.2'!$6:$6</definedName>
    <definedName name="_xlnm.Print_Titles" localSheetId="20">'2.5.3'!$A:$D,'2.5.3'!$8:$8</definedName>
    <definedName name="_xlnm.Print_Titles" localSheetId="21">'2.5.4'!$A:$D,'2.5.4'!$7:$7</definedName>
    <definedName name="_xlnm.Print_Titles" localSheetId="22">'2.6'!$5:$5</definedName>
    <definedName name="_xlnm.Print_Area" localSheetId="0">'1.1.1'!$A$1:$R$45</definedName>
    <definedName name="_xlnm.Print_Area" localSheetId="1">'1.1.2'!$A$1:$R$10</definedName>
    <definedName name="_xlnm.Print_Area" localSheetId="3">'1.2.2 (новый)'!$A$1:$T$40</definedName>
    <definedName name="_xlnm.Print_Area" localSheetId="4">'1.3'!$A$1:$N$54</definedName>
    <definedName name="_xlnm.Print_Area" localSheetId="9">'1.8.1'!$A$1:$R$25</definedName>
    <definedName name="_xlnm.Print_Area" localSheetId="11">'1.9'!$A$1:$I$24</definedName>
    <definedName name="_xlnm.Print_Area" localSheetId="12">'2.1'!$A$1:$AK$44</definedName>
    <definedName name="_xlnm.Print_Area" localSheetId="17">'2.4.3'!$A$1:$AP$83</definedName>
    <definedName name="_xlnm.Print_Area" localSheetId="19">'2.5.2'!$A$1:$M$30</definedName>
    <definedName name="_xlnm.Print_Area" localSheetId="22">'2.6'!$A$1:$J$35</definedName>
    <definedName name="_xlnm.Print_Area" localSheetId="26">'ЖКУ по помещениям'!$D$1:$Q$51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4" l="1"/>
  <c r="D16" i="24" s="1"/>
  <c r="D19" i="24" s="1"/>
  <c r="E19" i="24" s="1"/>
  <c r="AC16" i="24"/>
  <c r="X16" i="24"/>
  <c r="AC19" i="24"/>
  <c r="X19" i="24"/>
  <c r="Q18" i="24"/>
  <c r="L18" i="24"/>
  <c r="F10" i="24"/>
  <c r="F26" i="31" l="1"/>
  <c r="E26" i="31"/>
  <c r="E10" i="31"/>
  <c r="F15" i="31"/>
  <c r="D26" i="31"/>
  <c r="C26" i="31"/>
  <c r="C10" i="31"/>
  <c r="D15" i="31"/>
  <c r="J11" i="17"/>
  <c r="I11" i="17"/>
  <c r="J29" i="17"/>
  <c r="J16" i="17"/>
  <c r="J13" i="17"/>
  <c r="G17" i="27"/>
  <c r="G19" i="27"/>
  <c r="G18" i="27"/>
  <c r="G11" i="27"/>
  <c r="G40" i="27" s="1"/>
  <c r="E19" i="27"/>
  <c r="E11" i="27" l="1"/>
  <c r="D45" i="26"/>
  <c r="I20" i="22"/>
  <c r="AC62" i="10" l="1"/>
  <c r="AB29" i="10"/>
  <c r="AB30" i="10"/>
  <c r="J19" i="10"/>
  <c r="AC49" i="10"/>
  <c r="AC52" i="10"/>
  <c r="J32" i="10"/>
  <c r="J30" i="10" s="1"/>
  <c r="J29" i="10" s="1"/>
  <c r="L56" i="10"/>
  <c r="M56" i="10" s="1"/>
  <c r="AC56" i="10" s="1"/>
  <c r="L58" i="10"/>
  <c r="M58" i="10" s="1"/>
  <c r="AC58" i="10" s="1"/>
  <c r="L57" i="10"/>
  <c r="M57" i="10" s="1"/>
  <c r="AC57" i="10" s="1"/>
  <c r="L55" i="10"/>
  <c r="M55" i="10" s="1"/>
  <c r="AC55" i="10" s="1"/>
  <c r="L54" i="10"/>
  <c r="M54" i="10" s="1"/>
  <c r="AC54" i="10" s="1"/>
  <c r="L53" i="10"/>
  <c r="M53" i="10" s="1"/>
  <c r="AC53" i="10" s="1"/>
  <c r="L52" i="10"/>
  <c r="M52" i="10" s="1"/>
  <c r="L51" i="10"/>
  <c r="M51" i="10" s="1"/>
  <c r="AC51" i="10" s="1"/>
  <c r="L50" i="10"/>
  <c r="M50" i="10" s="1"/>
  <c r="AC50" i="10" s="1"/>
  <c r="L49" i="10"/>
  <c r="M49" i="10" s="1"/>
  <c r="L48" i="10"/>
  <c r="M48" i="10" s="1"/>
  <c r="AC48" i="10" s="1"/>
  <c r="L47" i="10"/>
  <c r="M47" i="10" s="1"/>
  <c r="AC47" i="10" s="1"/>
  <c r="L46" i="10"/>
  <c r="M46" i="10" s="1"/>
  <c r="AC46" i="10" s="1"/>
  <c r="L45" i="10"/>
  <c r="M45" i="10" s="1"/>
  <c r="AC45" i="10" s="1"/>
  <c r="L44" i="10"/>
  <c r="M44" i="10" s="1"/>
  <c r="AC44" i="10" s="1"/>
  <c r="L43" i="10"/>
  <c r="M43" i="10" s="1"/>
  <c r="AC43" i="10" s="1"/>
  <c r="L42" i="10"/>
  <c r="M42" i="10" s="1"/>
  <c r="AC42" i="10" s="1"/>
  <c r="L41" i="10"/>
  <c r="M41" i="10" s="1"/>
  <c r="AC41" i="10" s="1"/>
  <c r="L40" i="10"/>
  <c r="M40" i="10" s="1"/>
  <c r="AC40" i="10" s="1"/>
  <c r="L39" i="10"/>
  <c r="M39" i="10" s="1"/>
  <c r="AC39" i="10" s="1"/>
  <c r="L38" i="10"/>
  <c r="M38" i="10" s="1"/>
  <c r="AC38" i="10" s="1"/>
  <c r="L37" i="10"/>
  <c r="M37" i="10" s="1"/>
  <c r="AC37" i="10" s="1"/>
  <c r="L36" i="10"/>
  <c r="M36" i="10" s="1"/>
  <c r="AC36" i="10" s="1"/>
  <c r="L35" i="10"/>
  <c r="M35" i="10" s="1"/>
  <c r="AC35" i="10" s="1"/>
  <c r="J62" i="10"/>
  <c r="AO28" i="10"/>
  <c r="AA28" i="10"/>
  <c r="L28" i="10"/>
  <c r="M28" i="10" s="1"/>
  <c r="AO27" i="10"/>
  <c r="AA27" i="10"/>
  <c r="L27" i="10"/>
  <c r="M27" i="10" s="1"/>
  <c r="AO26" i="10"/>
  <c r="AA26" i="10"/>
  <c r="L26" i="10"/>
  <c r="M26" i="10" s="1"/>
  <c r="AO25" i="10"/>
  <c r="AA25" i="10"/>
  <c r="L25" i="10"/>
  <c r="M25" i="10" s="1"/>
  <c r="AO24" i="10"/>
  <c r="AA24" i="10"/>
  <c r="L24" i="10"/>
  <c r="M24" i="10" s="1"/>
  <c r="AE21" i="10"/>
  <c r="AE19" i="10" s="1"/>
  <c r="AE17" i="10" s="1"/>
  <c r="AE16" i="10" s="1"/>
  <c r="AD19" i="10"/>
  <c r="AD17" i="10" s="1"/>
  <c r="AD16" i="10" s="1"/>
  <c r="AO23" i="10"/>
  <c r="AA23" i="10"/>
  <c r="L23" i="10"/>
  <c r="M23" i="10" s="1"/>
  <c r="AA22" i="10"/>
  <c r="AO22" i="10"/>
  <c r="L22" i="10"/>
  <c r="M22" i="10" s="1"/>
  <c r="V46" i="8"/>
  <c r="K46" i="8"/>
  <c r="J46" i="8"/>
  <c r="J29" i="8"/>
  <c r="M49" i="8"/>
  <c r="N49" i="8" s="1"/>
  <c r="AA19" i="10" l="1"/>
  <c r="N34" i="8"/>
  <c r="X34" i="8" s="1"/>
  <c r="M34" i="8"/>
  <c r="K34" i="8"/>
  <c r="K33" i="8"/>
  <c r="K29" i="8" s="1"/>
  <c r="N33" i="8"/>
  <c r="X33" i="8" s="1"/>
  <c r="X29" i="8" s="1"/>
  <c r="X27" i="8" s="1"/>
  <c r="M33" i="8"/>
  <c r="N32" i="8"/>
  <c r="M32" i="8"/>
  <c r="AF21" i="3"/>
  <c r="AB22" i="3"/>
  <c r="J21" i="3" l="1"/>
  <c r="J36" i="3"/>
  <c r="C45" i="26" l="1"/>
  <c r="J39" i="17"/>
  <c r="D10" i="31"/>
  <c r="F10" i="31"/>
  <c r="O36" i="27" l="1"/>
  <c r="G36" i="27"/>
  <c r="E36" i="27"/>
  <c r="C36" i="27"/>
  <c r="O32" i="27"/>
  <c r="G32" i="27"/>
  <c r="E32" i="27"/>
  <c r="O11" i="27"/>
  <c r="E40" i="27" l="1"/>
  <c r="D15" i="24"/>
  <c r="D13" i="24" s="1"/>
  <c r="D12" i="24"/>
  <c r="C19" i="27"/>
  <c r="C17" i="27"/>
  <c r="C16" i="27"/>
  <c r="C15" i="27"/>
  <c r="C14" i="27"/>
  <c r="C12" i="27"/>
  <c r="C35" i="27" l="1"/>
  <c r="C32" i="27" s="1"/>
  <c r="C23" i="27"/>
  <c r="C10" i="27"/>
  <c r="O40" i="27" l="1"/>
  <c r="C9" i="27"/>
  <c r="C18" i="27"/>
  <c r="C11" i="27" l="1"/>
  <c r="AC21" i="3"/>
  <c r="AC20" i="3" s="1"/>
  <c r="AD21" i="3"/>
  <c r="AD20" i="3" s="1"/>
  <c r="AE21" i="3"/>
  <c r="AE20" i="3" s="1"/>
  <c r="AF20" i="3"/>
  <c r="E14" i="30"/>
  <c r="F14" i="30"/>
  <c r="G14" i="30"/>
  <c r="H14" i="30"/>
  <c r="I14" i="30"/>
  <c r="J14" i="30"/>
  <c r="K14" i="30"/>
  <c r="L14" i="30"/>
  <c r="M14" i="30"/>
  <c r="N14" i="30"/>
  <c r="O14" i="30"/>
  <c r="P14" i="30"/>
  <c r="G16" i="30"/>
  <c r="H16" i="30"/>
  <c r="I16" i="30"/>
  <c r="J16" i="30"/>
  <c r="K16" i="30"/>
  <c r="L16" i="30"/>
  <c r="M16" i="30"/>
  <c r="N16" i="30"/>
  <c r="N11" i="30" s="1"/>
  <c r="O16" i="30"/>
  <c r="O11" i="30" s="1"/>
  <c r="P16" i="30"/>
  <c r="P11" i="30" s="1"/>
  <c r="E17" i="30"/>
  <c r="E12" i="30" s="1"/>
  <c r="F17" i="30"/>
  <c r="F12" i="30" s="1"/>
  <c r="G17" i="30"/>
  <c r="G12" i="30" s="1"/>
  <c r="H17" i="30"/>
  <c r="H12" i="30" s="1"/>
  <c r="I17" i="30"/>
  <c r="I12" i="30" s="1"/>
  <c r="J17" i="30"/>
  <c r="J12" i="30" s="1"/>
  <c r="K17" i="30"/>
  <c r="K12" i="30" s="1"/>
  <c r="L17" i="30"/>
  <c r="L12" i="30" s="1"/>
  <c r="M17" i="30"/>
  <c r="M12" i="30" s="1"/>
  <c r="N17" i="30"/>
  <c r="N12" i="30" s="1"/>
  <c r="O17" i="30"/>
  <c r="O12" i="30" s="1"/>
  <c r="P17" i="30"/>
  <c r="P12" i="30" s="1"/>
  <c r="E18" i="30"/>
  <c r="F18" i="30"/>
  <c r="G18" i="30"/>
  <c r="H18" i="30"/>
  <c r="I18" i="30"/>
  <c r="J18" i="30"/>
  <c r="K18" i="30"/>
  <c r="L18" i="30"/>
  <c r="M18" i="30"/>
  <c r="N18" i="30"/>
  <c r="O18" i="30"/>
  <c r="P18" i="30"/>
  <c r="Q19" i="30"/>
  <c r="E21" i="30"/>
  <c r="H21" i="30"/>
  <c r="H20" i="30" s="1"/>
  <c r="I21" i="30"/>
  <c r="I20" i="30" s="1"/>
  <c r="J21" i="30"/>
  <c r="J20" i="30" s="1"/>
  <c r="K21" i="30"/>
  <c r="L21" i="30"/>
  <c r="M21" i="30"/>
  <c r="N21" i="30"/>
  <c r="O21" i="30"/>
  <c r="P21" i="30"/>
  <c r="Q22" i="30"/>
  <c r="E23" i="30"/>
  <c r="F23" i="30"/>
  <c r="G23" i="30"/>
  <c r="H23" i="30"/>
  <c r="I23" i="30"/>
  <c r="J23" i="30"/>
  <c r="K23" i="30"/>
  <c r="L23" i="30"/>
  <c r="M23" i="30"/>
  <c r="N23" i="30"/>
  <c r="O23" i="30"/>
  <c r="P23" i="30"/>
  <c r="Q24" i="30"/>
  <c r="T28" i="30"/>
  <c r="T30" i="30"/>
  <c r="Q50" i="30"/>
  <c r="Q57" i="30"/>
  <c r="Q58" i="30"/>
  <c r="C59" i="30"/>
  <c r="F59" i="30" s="1"/>
  <c r="H59" i="30"/>
  <c r="C60" i="30"/>
  <c r="L60" i="30" s="1"/>
  <c r="E60" i="30"/>
  <c r="F60" i="30"/>
  <c r="G60" i="30"/>
  <c r="H60" i="30"/>
  <c r="I60" i="30"/>
  <c r="J60" i="30"/>
  <c r="K60" i="30"/>
  <c r="N60" i="30"/>
  <c r="O60" i="30"/>
  <c r="P60" i="30"/>
  <c r="Q61" i="30"/>
  <c r="Q62" i="30"/>
  <c r="C63" i="30"/>
  <c r="G63" i="30" s="1"/>
  <c r="G36" i="30" s="1"/>
  <c r="N63" i="30"/>
  <c r="N36" i="30" s="1"/>
  <c r="O63" i="30"/>
  <c r="O36" i="30" s="1"/>
  <c r="C64" i="30"/>
  <c r="F64" i="30" s="1"/>
  <c r="E64" i="30"/>
  <c r="E44" i="30" s="1"/>
  <c r="G64" i="30"/>
  <c r="G44" i="30" s="1"/>
  <c r="H64" i="30"/>
  <c r="H44" i="30" s="1"/>
  <c r="I64" i="30"/>
  <c r="K64" i="30"/>
  <c r="K44" i="30" s="1"/>
  <c r="L64" i="30"/>
  <c r="L44" i="30" s="1"/>
  <c r="M64" i="30"/>
  <c r="O64" i="30"/>
  <c r="O44" i="30" s="1"/>
  <c r="P64" i="30"/>
  <c r="P44" i="30" s="1"/>
  <c r="Q65" i="30"/>
  <c r="Q66" i="30"/>
  <c r="C67" i="30"/>
  <c r="F67" i="30" s="1"/>
  <c r="E67" i="30"/>
  <c r="G67" i="30"/>
  <c r="C68" i="30"/>
  <c r="E68" i="30" s="1"/>
  <c r="F68" i="30"/>
  <c r="F69" i="30"/>
  <c r="Q69" i="30"/>
  <c r="Q70" i="30"/>
  <c r="Q75" i="30"/>
  <c r="N76" i="30"/>
  <c r="Q76" i="30" s="1"/>
  <c r="C77" i="30"/>
  <c r="H77" i="30"/>
  <c r="P77" i="30"/>
  <c r="C78" i="30"/>
  <c r="G78" i="30" s="1"/>
  <c r="F78" i="30"/>
  <c r="H78" i="30"/>
  <c r="H46" i="30" s="1"/>
  <c r="J78" i="30"/>
  <c r="L78" i="30"/>
  <c r="L46" i="30" s="1"/>
  <c r="E79" i="30"/>
  <c r="J79" i="30"/>
  <c r="K79" i="30"/>
  <c r="L79" i="30"/>
  <c r="M79" i="30"/>
  <c r="N79" i="30"/>
  <c r="O79" i="30"/>
  <c r="P79" i="30"/>
  <c r="P81" i="30" s="1"/>
  <c r="P39" i="30" s="1"/>
  <c r="Q79" i="30"/>
  <c r="J80" i="30"/>
  <c r="J82" i="30" s="1"/>
  <c r="J47" i="30" s="1"/>
  <c r="K80" i="30"/>
  <c r="L80" i="30"/>
  <c r="L82" i="30" s="1"/>
  <c r="L47" i="30" s="1"/>
  <c r="M80" i="30"/>
  <c r="M82" i="30" s="1"/>
  <c r="N80" i="30"/>
  <c r="O80" i="30"/>
  <c r="O82" i="30" s="1"/>
  <c r="O47" i="30" s="1"/>
  <c r="P80" i="30"/>
  <c r="P82" i="30" s="1"/>
  <c r="P47" i="30" s="1"/>
  <c r="C81" i="30"/>
  <c r="H81" i="30" s="1"/>
  <c r="H39" i="30" s="1"/>
  <c r="F81" i="30"/>
  <c r="F39" i="30" s="1"/>
  <c r="C82" i="30"/>
  <c r="F82" i="30" s="1"/>
  <c r="F47" i="30" s="1"/>
  <c r="E82" i="30"/>
  <c r="E47" i="30" s="1"/>
  <c r="H82" i="30"/>
  <c r="H47" i="30" s="1"/>
  <c r="E83" i="30"/>
  <c r="F83" i="30"/>
  <c r="Q83" i="30" s="1"/>
  <c r="Q84" i="30"/>
  <c r="C85" i="30"/>
  <c r="L85" i="30" s="1"/>
  <c r="L40" i="30" s="1"/>
  <c r="E85" i="30"/>
  <c r="E40" i="30" s="1"/>
  <c r="G85" i="30"/>
  <c r="G40" i="30" s="1"/>
  <c r="H85" i="30"/>
  <c r="H40" i="30" s="1"/>
  <c r="I85" i="30"/>
  <c r="I40" i="30" s="1"/>
  <c r="J85" i="30"/>
  <c r="J40" i="30" s="1"/>
  <c r="K85" i="30"/>
  <c r="K40" i="30" s="1"/>
  <c r="N85" i="30"/>
  <c r="N40" i="30" s="1"/>
  <c r="O85" i="30"/>
  <c r="O40" i="30" s="1"/>
  <c r="C86" i="30"/>
  <c r="F86" i="30" s="1"/>
  <c r="F48" i="30" s="1"/>
  <c r="E86" i="30"/>
  <c r="E48" i="30" s="1"/>
  <c r="G86" i="30"/>
  <c r="G48" i="30" s="1"/>
  <c r="H86" i="30"/>
  <c r="H48" i="30" s="1"/>
  <c r="I86" i="30"/>
  <c r="I48" i="30" s="1"/>
  <c r="K86" i="30"/>
  <c r="K48" i="30" s="1"/>
  <c r="P86" i="30"/>
  <c r="P48" i="30" s="1"/>
  <c r="F87" i="30"/>
  <c r="Q87" i="30"/>
  <c r="Q88" i="30"/>
  <c r="F89" i="30"/>
  <c r="Q89" i="30" s="1"/>
  <c r="C94" i="30"/>
  <c r="G94" i="30" s="1"/>
  <c r="G41" i="30" s="1"/>
  <c r="F94" i="30"/>
  <c r="F41" i="30" s="1"/>
  <c r="H94" i="30"/>
  <c r="H41" i="30" s="1"/>
  <c r="J94" i="30"/>
  <c r="J41" i="30" s="1"/>
  <c r="L94" i="30"/>
  <c r="L41" i="30" s="1"/>
  <c r="N94" i="30"/>
  <c r="N41" i="30" s="1"/>
  <c r="P94" i="30"/>
  <c r="P41" i="30" s="1"/>
  <c r="C95" i="30"/>
  <c r="L95" i="30" s="1"/>
  <c r="L49" i="30" s="1"/>
  <c r="E98" i="30"/>
  <c r="F98" i="30"/>
  <c r="G98" i="30"/>
  <c r="H98" i="30"/>
  <c r="I98" i="30"/>
  <c r="I99" i="30" s="1"/>
  <c r="I42" i="30" s="1"/>
  <c r="I34" i="30" s="1"/>
  <c r="J98" i="30"/>
  <c r="K98" i="30"/>
  <c r="K99" i="30" s="1"/>
  <c r="K42" i="30" s="1"/>
  <c r="K34" i="30" s="1"/>
  <c r="L98" i="30"/>
  <c r="L99" i="30" s="1"/>
  <c r="L42" i="30" s="1"/>
  <c r="L34" i="30" s="1"/>
  <c r="M98" i="30"/>
  <c r="M99" i="30" s="1"/>
  <c r="M42" i="30" s="1"/>
  <c r="M34" i="30" s="1"/>
  <c r="N98" i="30"/>
  <c r="N99" i="30" s="1"/>
  <c r="N42" i="30" s="1"/>
  <c r="N34" i="30" s="1"/>
  <c r="O98" i="30"/>
  <c r="O99" i="30" s="1"/>
  <c r="O42" i="30" s="1"/>
  <c r="O34" i="30" s="1"/>
  <c r="P98" i="30"/>
  <c r="P99" i="30" s="1"/>
  <c r="P42" i="30" s="1"/>
  <c r="P34" i="30" s="1"/>
  <c r="E99" i="30"/>
  <c r="E42" i="30" s="1"/>
  <c r="E34" i="30" s="1"/>
  <c r="F99" i="30"/>
  <c r="F42" i="30" s="1"/>
  <c r="F34" i="30" s="1"/>
  <c r="G99" i="30"/>
  <c r="H99" i="30"/>
  <c r="H42" i="30" s="1"/>
  <c r="H34" i="30" s="1"/>
  <c r="J99" i="30"/>
  <c r="J42" i="30" s="1"/>
  <c r="J34" i="30" s="1"/>
  <c r="E105" i="30"/>
  <c r="E16" i="30" s="1"/>
  <c r="F105" i="30"/>
  <c r="F16" i="30" s="1"/>
  <c r="F106" i="30"/>
  <c r="F21" i="30" s="1"/>
  <c r="K13" i="30" l="1"/>
  <c r="Q23" i="30"/>
  <c r="H13" i="30"/>
  <c r="L67" i="30"/>
  <c r="L11" i="30"/>
  <c r="K67" i="30"/>
  <c r="F63" i="30"/>
  <c r="F36" i="30" s="1"/>
  <c r="K11" i="30"/>
  <c r="J13" i="30"/>
  <c r="P95" i="30"/>
  <c r="P49" i="30" s="1"/>
  <c r="P78" i="30"/>
  <c r="P74" i="30" s="1"/>
  <c r="I67" i="30"/>
  <c r="E63" i="30"/>
  <c r="E36" i="30" s="1"/>
  <c r="E28" i="30" s="1"/>
  <c r="E45" i="30"/>
  <c r="I13" i="30"/>
  <c r="M67" i="30"/>
  <c r="H95" i="30"/>
  <c r="H49" i="30" s="1"/>
  <c r="P85" i="30"/>
  <c r="P40" i="30" s="1"/>
  <c r="P32" i="30" s="1"/>
  <c r="G81" i="30"/>
  <c r="G39" i="30" s="1"/>
  <c r="N78" i="30"/>
  <c r="N46" i="30" s="1"/>
  <c r="H67" i="30"/>
  <c r="M20" i="30"/>
  <c r="Q17" i="30"/>
  <c r="Q12" i="30" s="1"/>
  <c r="P63" i="30"/>
  <c r="P36" i="30" s="1"/>
  <c r="E59" i="30"/>
  <c r="J45" i="30"/>
  <c r="O81" i="30"/>
  <c r="O39" i="30" s="1"/>
  <c r="O31" i="30" s="1"/>
  <c r="O86" i="30"/>
  <c r="O48" i="30" s="1"/>
  <c r="M63" i="30"/>
  <c r="M36" i="30" s="1"/>
  <c r="M28" i="30" s="1"/>
  <c r="N81" i="30"/>
  <c r="N39" i="30" s="1"/>
  <c r="N31" i="30" s="1"/>
  <c r="L63" i="30"/>
  <c r="L36" i="30" s="1"/>
  <c r="N86" i="30"/>
  <c r="N48" i="30" s="1"/>
  <c r="N32" i="30" s="1"/>
  <c r="L81" i="30"/>
  <c r="L39" i="30" s="1"/>
  <c r="L31" i="30" s="1"/>
  <c r="K63" i="30"/>
  <c r="K36" i="30" s="1"/>
  <c r="K28" i="30" s="1"/>
  <c r="J63" i="30"/>
  <c r="J36" i="30" s="1"/>
  <c r="M81" i="30"/>
  <c r="M39" i="30" s="1"/>
  <c r="M31" i="30" s="1"/>
  <c r="P68" i="30"/>
  <c r="P45" i="30" s="1"/>
  <c r="F45" i="30"/>
  <c r="P13" i="30"/>
  <c r="M86" i="30"/>
  <c r="M48" i="30" s="1"/>
  <c r="K81" i="30"/>
  <c r="K39" i="30" s="1"/>
  <c r="O68" i="30"/>
  <c r="O13" i="30"/>
  <c r="L86" i="30"/>
  <c r="L48" i="30" s="1"/>
  <c r="L32" i="30" s="1"/>
  <c r="J81" i="30"/>
  <c r="J39" i="30" s="1"/>
  <c r="N68" i="30"/>
  <c r="I63" i="30"/>
  <c r="I36" i="30" s="1"/>
  <c r="N13" i="30"/>
  <c r="I81" i="30"/>
  <c r="I39" i="30" s="1"/>
  <c r="I31" i="30" s="1"/>
  <c r="M68" i="30"/>
  <c r="H63" i="30"/>
  <c r="H36" i="30" s="1"/>
  <c r="N45" i="30"/>
  <c r="M13" i="30"/>
  <c r="J86" i="30"/>
  <c r="J48" i="30" s="1"/>
  <c r="Q48" i="30" s="1"/>
  <c r="E81" i="30"/>
  <c r="E39" i="30" s="1"/>
  <c r="L68" i="30"/>
  <c r="L45" i="30" s="1"/>
  <c r="L43" i="30" s="1"/>
  <c r="P59" i="30"/>
  <c r="P37" i="30" s="1"/>
  <c r="L13" i="30"/>
  <c r="K68" i="30"/>
  <c r="K56" i="30" s="1"/>
  <c r="O59" i="30"/>
  <c r="J68" i="30"/>
  <c r="N59" i="30"/>
  <c r="N82" i="30"/>
  <c r="N47" i="30" s="1"/>
  <c r="L74" i="30"/>
  <c r="I68" i="30"/>
  <c r="I45" i="30" s="1"/>
  <c r="M59" i="30"/>
  <c r="Q80" i="30"/>
  <c r="H68" i="30"/>
  <c r="H45" i="30" s="1"/>
  <c r="L59" i="30"/>
  <c r="L37" i="30" s="1"/>
  <c r="M11" i="30"/>
  <c r="K82" i="30"/>
  <c r="K47" i="30" s="1"/>
  <c r="H74" i="30"/>
  <c r="G68" i="30"/>
  <c r="K59" i="30"/>
  <c r="K37" i="30" s="1"/>
  <c r="P20" i="30"/>
  <c r="G13" i="30"/>
  <c r="J59" i="30"/>
  <c r="O20" i="30"/>
  <c r="F13" i="30"/>
  <c r="I82" i="30"/>
  <c r="I47" i="30" s="1"/>
  <c r="O45" i="30"/>
  <c r="I59" i="30"/>
  <c r="N20" i="30"/>
  <c r="E13" i="30"/>
  <c r="J11" i="30"/>
  <c r="I56" i="30"/>
  <c r="I11" i="30"/>
  <c r="M85" i="30"/>
  <c r="M40" i="30" s="1"/>
  <c r="M32" i="30" s="1"/>
  <c r="G82" i="30"/>
  <c r="G47" i="30" s="1"/>
  <c r="P67" i="30"/>
  <c r="M60" i="30"/>
  <c r="M45" i="30" s="1"/>
  <c r="G59" i="30"/>
  <c r="G37" i="30" s="1"/>
  <c r="L20" i="30"/>
  <c r="H11" i="30"/>
  <c r="O67" i="30"/>
  <c r="O37" i="30" s="1"/>
  <c r="K20" i="30"/>
  <c r="C40" i="27"/>
  <c r="F19" i="27" s="1"/>
  <c r="Q14" i="30"/>
  <c r="E20" i="30"/>
  <c r="M47" i="30"/>
  <c r="F11" i="30"/>
  <c r="F15" i="30"/>
  <c r="E95" i="30"/>
  <c r="I95" i="30"/>
  <c r="I49" i="30" s="1"/>
  <c r="M95" i="30"/>
  <c r="M49" i="30" s="1"/>
  <c r="F95" i="30"/>
  <c r="F49" i="30" s="1"/>
  <c r="F33" i="30" s="1"/>
  <c r="J95" i="30"/>
  <c r="J49" i="30" s="1"/>
  <c r="J33" i="30" s="1"/>
  <c r="N95" i="30"/>
  <c r="N49" i="30" s="1"/>
  <c r="N33" i="30" s="1"/>
  <c r="G95" i="30"/>
  <c r="G49" i="30" s="1"/>
  <c r="G33" i="30" s="1"/>
  <c r="K95" i="30"/>
  <c r="K49" i="30" s="1"/>
  <c r="O95" i="30"/>
  <c r="O49" i="30" s="1"/>
  <c r="G46" i="30"/>
  <c r="E77" i="30"/>
  <c r="I77" i="30"/>
  <c r="M77" i="30"/>
  <c r="F77" i="30"/>
  <c r="J77" i="30"/>
  <c r="N77" i="30"/>
  <c r="G77" i="30"/>
  <c r="K77" i="30"/>
  <c r="O77" i="30"/>
  <c r="F74" i="30"/>
  <c r="F46" i="30"/>
  <c r="J46" i="30"/>
  <c r="P38" i="30"/>
  <c r="H38" i="30"/>
  <c r="H30" i="30" s="1"/>
  <c r="H73" i="30"/>
  <c r="G42" i="30"/>
  <c r="G34" i="30" s="1"/>
  <c r="Q34" i="30" s="1"/>
  <c r="R34" i="30" s="1"/>
  <c r="U34" i="30" s="1"/>
  <c r="Q99" i="30"/>
  <c r="O32" i="30"/>
  <c r="K32" i="30"/>
  <c r="G32" i="30"/>
  <c r="L77" i="30"/>
  <c r="F55" i="30"/>
  <c r="F44" i="30"/>
  <c r="F43" i="30" s="1"/>
  <c r="E56" i="30"/>
  <c r="G106" i="30"/>
  <c r="E11" i="30"/>
  <c r="E15" i="30"/>
  <c r="Q16" i="30"/>
  <c r="M94" i="30"/>
  <c r="M41" i="30" s="1"/>
  <c r="I94" i="30"/>
  <c r="I41" i="30" s="1"/>
  <c r="E94" i="30"/>
  <c r="F85" i="30"/>
  <c r="J31" i="30"/>
  <c r="F31" i="30"/>
  <c r="M78" i="30"/>
  <c r="I78" i="30"/>
  <c r="E78" i="30"/>
  <c r="N28" i="30"/>
  <c r="H37" i="30"/>
  <c r="H35" i="30" s="1"/>
  <c r="M44" i="30"/>
  <c r="I44" i="30"/>
  <c r="I28" i="30" s="1"/>
  <c r="O28" i="30"/>
  <c r="I37" i="30"/>
  <c r="L33" i="30"/>
  <c r="I32" i="30"/>
  <c r="E32" i="30"/>
  <c r="O56" i="30"/>
  <c r="G28" i="30"/>
  <c r="E37" i="30"/>
  <c r="F20" i="30"/>
  <c r="P33" i="30"/>
  <c r="H33" i="30"/>
  <c r="Q105" i="30"/>
  <c r="O94" i="30"/>
  <c r="O41" i="30" s="1"/>
  <c r="O33" i="30" s="1"/>
  <c r="K94" i="30"/>
  <c r="K41" i="30" s="1"/>
  <c r="K33" i="30" s="1"/>
  <c r="H32" i="30"/>
  <c r="P31" i="30"/>
  <c r="H31" i="30"/>
  <c r="O78" i="30"/>
  <c r="K78" i="30"/>
  <c r="N67" i="30"/>
  <c r="N55" i="30" s="1"/>
  <c r="J67" i="30"/>
  <c r="N64" i="30"/>
  <c r="N44" i="30" s="1"/>
  <c r="J64" i="30"/>
  <c r="J44" i="30" s="1"/>
  <c r="P28" i="30"/>
  <c r="L28" i="30"/>
  <c r="H28" i="30"/>
  <c r="F37" i="30"/>
  <c r="F56" i="30"/>
  <c r="O55" i="30"/>
  <c r="Q18" i="30"/>
  <c r="Q13" i="30" s="1"/>
  <c r="P15" i="30"/>
  <c r="L15" i="30"/>
  <c r="H15" i="30"/>
  <c r="O15" i="30"/>
  <c r="K15" i="30"/>
  <c r="G15" i="30"/>
  <c r="N15" i="30"/>
  <c r="J15" i="30"/>
  <c r="M15" i="30"/>
  <c r="I15" i="30"/>
  <c r="E9" i="14"/>
  <c r="Q68" i="30" l="1"/>
  <c r="Q36" i="30"/>
  <c r="P73" i="30"/>
  <c r="P72" i="30" s="1"/>
  <c r="M37" i="30"/>
  <c r="M29" i="30" s="1"/>
  <c r="H43" i="30"/>
  <c r="H7" i="30" s="1"/>
  <c r="Q63" i="30"/>
  <c r="K45" i="30"/>
  <c r="I55" i="30"/>
  <c r="K29" i="30"/>
  <c r="P46" i="30"/>
  <c r="P43" i="30" s="1"/>
  <c r="P7" i="30" s="1"/>
  <c r="Q47" i="30"/>
  <c r="N37" i="30"/>
  <c r="N29" i="30" s="1"/>
  <c r="L7" i="30"/>
  <c r="P29" i="30"/>
  <c r="P35" i="30"/>
  <c r="L29" i="30"/>
  <c r="H27" i="30"/>
  <c r="G45" i="30"/>
  <c r="Q45" i="30" s="1"/>
  <c r="J32" i="30"/>
  <c r="P55" i="30"/>
  <c r="M56" i="30"/>
  <c r="G56" i="30"/>
  <c r="G55" i="30"/>
  <c r="G54" i="30" s="1"/>
  <c r="G31" i="30"/>
  <c r="L55" i="30"/>
  <c r="H56" i="30"/>
  <c r="P56" i="30"/>
  <c r="Q60" i="30"/>
  <c r="Q81" i="30"/>
  <c r="K31" i="30"/>
  <c r="F7" i="30"/>
  <c r="H55" i="30"/>
  <c r="N74" i="30"/>
  <c r="I54" i="30"/>
  <c r="Q42" i="30"/>
  <c r="M55" i="30"/>
  <c r="Q82" i="30"/>
  <c r="K55" i="30"/>
  <c r="K54" i="30" s="1"/>
  <c r="L56" i="30"/>
  <c r="G74" i="30"/>
  <c r="O54" i="30"/>
  <c r="E55" i="30"/>
  <c r="Q59" i="30"/>
  <c r="O29" i="30"/>
  <c r="J74" i="30"/>
  <c r="N56" i="30"/>
  <c r="N54" i="30" s="1"/>
  <c r="J43" i="30"/>
  <c r="J7" i="30" s="1"/>
  <c r="J55" i="30"/>
  <c r="I29" i="30"/>
  <c r="H72" i="30"/>
  <c r="M33" i="30"/>
  <c r="H29" i="30"/>
  <c r="Q86" i="30"/>
  <c r="F29" i="30"/>
  <c r="F28" i="30"/>
  <c r="P35" i="27"/>
  <c r="P18" i="27"/>
  <c r="F15" i="27"/>
  <c r="F9" i="27"/>
  <c r="P17" i="27"/>
  <c r="P10" i="27"/>
  <c r="H17" i="27"/>
  <c r="F18" i="27"/>
  <c r="P12" i="27"/>
  <c r="P23" i="27"/>
  <c r="P15" i="27"/>
  <c r="H16" i="27"/>
  <c r="F17" i="27"/>
  <c r="F12" i="27"/>
  <c r="P19" i="27"/>
  <c r="P14" i="27"/>
  <c r="H19" i="27"/>
  <c r="H14" i="27"/>
  <c r="F16" i="27"/>
  <c r="F10" i="27"/>
  <c r="F14" i="27"/>
  <c r="F11" i="27"/>
  <c r="P32" i="27"/>
  <c r="P11" i="27"/>
  <c r="D17" i="27"/>
  <c r="D15" i="27"/>
  <c r="D19" i="27"/>
  <c r="D12" i="27"/>
  <c r="D14" i="27"/>
  <c r="D16" i="27"/>
  <c r="D10" i="27"/>
  <c r="P9" i="27"/>
  <c r="D23" i="27"/>
  <c r="D32" i="27"/>
  <c r="D35" i="27"/>
  <c r="H18" i="27"/>
  <c r="H11" i="27"/>
  <c r="D9" i="27"/>
  <c r="D18" i="27"/>
  <c r="D11" i="27"/>
  <c r="M10" i="30"/>
  <c r="E31" i="30"/>
  <c r="Q39" i="30"/>
  <c r="F38" i="30"/>
  <c r="F30" i="30" s="1"/>
  <c r="F73" i="30"/>
  <c r="F72" i="30" s="1"/>
  <c r="F10" i="30"/>
  <c r="J10" i="30"/>
  <c r="O10" i="30"/>
  <c r="E29" i="30"/>
  <c r="L54" i="30"/>
  <c r="E46" i="30"/>
  <c r="Q78" i="30"/>
  <c r="E74" i="30"/>
  <c r="Q15" i="30"/>
  <c r="G38" i="30"/>
  <c r="G73" i="30"/>
  <c r="M38" i="30"/>
  <c r="M73" i="30"/>
  <c r="Q95" i="30"/>
  <c r="E49" i="30"/>
  <c r="Q49" i="30" s="1"/>
  <c r="P6" i="30"/>
  <c r="P10" i="30"/>
  <c r="G21" i="30"/>
  <c r="Q106" i="30"/>
  <c r="K38" i="30"/>
  <c r="K35" i="30" s="1"/>
  <c r="K73" i="30"/>
  <c r="N10" i="30"/>
  <c r="K74" i="30"/>
  <c r="K46" i="30"/>
  <c r="J28" i="30"/>
  <c r="I46" i="30"/>
  <c r="I43" i="30" s="1"/>
  <c r="I7" i="30" s="1"/>
  <c r="I74" i="30"/>
  <c r="E41" i="30"/>
  <c r="Q94" i="30"/>
  <c r="E10" i="30"/>
  <c r="Q67" i="30"/>
  <c r="Q44" i="30"/>
  <c r="N38" i="30"/>
  <c r="N30" i="30" s="1"/>
  <c r="N73" i="30"/>
  <c r="N72" i="30" s="1"/>
  <c r="I38" i="30"/>
  <c r="I73" i="30"/>
  <c r="I72" i="30" s="1"/>
  <c r="K10" i="30"/>
  <c r="L38" i="30"/>
  <c r="L73" i="30"/>
  <c r="L72" i="30" s="1"/>
  <c r="H6" i="30"/>
  <c r="H10" i="30"/>
  <c r="J37" i="30"/>
  <c r="I10" i="30"/>
  <c r="L10" i="30"/>
  <c r="J56" i="30"/>
  <c r="N43" i="30"/>
  <c r="N7" i="30" s="1"/>
  <c r="O74" i="30"/>
  <c r="O46" i="30"/>
  <c r="O43" i="30" s="1"/>
  <c r="O7" i="30" s="1"/>
  <c r="M46" i="30"/>
  <c r="M43" i="30" s="1"/>
  <c r="M7" i="30" s="1"/>
  <c r="M74" i="30"/>
  <c r="F40" i="30"/>
  <c r="Q85" i="30"/>
  <c r="I33" i="30"/>
  <c r="Q64" i="30"/>
  <c r="F54" i="30"/>
  <c r="O38" i="30"/>
  <c r="O30" i="30" s="1"/>
  <c r="O73" i="30"/>
  <c r="J38" i="30"/>
  <c r="J30" i="30" s="1"/>
  <c r="J73" i="30"/>
  <c r="E38" i="30"/>
  <c r="Q77" i="30"/>
  <c r="E73" i="30"/>
  <c r="E54" i="30"/>
  <c r="P5" i="30" l="1"/>
  <c r="P30" i="30"/>
  <c r="P27" i="30"/>
  <c r="G43" i="30"/>
  <c r="Q55" i="30"/>
  <c r="H5" i="30"/>
  <c r="Q28" i="30"/>
  <c r="K43" i="30"/>
  <c r="K7" i="30" s="1"/>
  <c r="Q56" i="30"/>
  <c r="J54" i="30"/>
  <c r="K72" i="30"/>
  <c r="P54" i="30"/>
  <c r="G29" i="30"/>
  <c r="Q29" i="30" s="1"/>
  <c r="R28" i="30" s="1"/>
  <c r="U28" i="30" s="1"/>
  <c r="G72" i="30"/>
  <c r="J72" i="30"/>
  <c r="M54" i="30"/>
  <c r="Q31" i="30"/>
  <c r="H54" i="30"/>
  <c r="Q54" i="30" s="1"/>
  <c r="K27" i="30"/>
  <c r="K6" i="30"/>
  <c r="K5" i="30" s="1"/>
  <c r="E72" i="30"/>
  <c r="Q73" i="30"/>
  <c r="F32" i="30"/>
  <c r="Q32" i="30" s="1"/>
  <c r="Q40" i="30"/>
  <c r="Q74" i="30"/>
  <c r="J29" i="30"/>
  <c r="J35" i="30"/>
  <c r="L30" i="30"/>
  <c r="L35" i="30"/>
  <c r="M72" i="30"/>
  <c r="Q37" i="30"/>
  <c r="I30" i="30"/>
  <c r="I35" i="30"/>
  <c r="E33" i="30"/>
  <c r="Q33" i="30" s="1"/>
  <c r="R33" i="30" s="1"/>
  <c r="U33" i="30" s="1"/>
  <c r="Q41" i="30"/>
  <c r="K30" i="30"/>
  <c r="M30" i="30"/>
  <c r="M35" i="30"/>
  <c r="Q46" i="30"/>
  <c r="Q43" i="30" s="1"/>
  <c r="E43" i="30"/>
  <c r="E7" i="30" s="1"/>
  <c r="F35" i="30"/>
  <c r="G20" i="30"/>
  <c r="Q21" i="30"/>
  <c r="G11" i="30"/>
  <c r="G30" i="30"/>
  <c r="G35" i="30"/>
  <c r="O72" i="30"/>
  <c r="E30" i="30"/>
  <c r="Q38" i="30"/>
  <c r="E35" i="30"/>
  <c r="N35" i="30"/>
  <c r="O35" i="30"/>
  <c r="G36" i="9"/>
  <c r="I36" i="9"/>
  <c r="J36" i="9"/>
  <c r="K36" i="9"/>
  <c r="L36" i="9"/>
  <c r="M36" i="9"/>
  <c r="N36" i="9"/>
  <c r="F36" i="9"/>
  <c r="I15" i="17"/>
  <c r="J15" i="17"/>
  <c r="O27" i="30" l="1"/>
  <c r="O6" i="30"/>
  <c r="O5" i="30" s="1"/>
  <c r="Q20" i="30"/>
  <c r="Q7" i="30" s="1"/>
  <c r="Q11" i="30"/>
  <c r="Q35" i="30"/>
  <c r="Q72" i="30"/>
  <c r="L27" i="30"/>
  <c r="L6" i="30"/>
  <c r="L5" i="30" s="1"/>
  <c r="J27" i="30"/>
  <c r="J6" i="30"/>
  <c r="J5" i="30" s="1"/>
  <c r="E27" i="30"/>
  <c r="E6" i="30"/>
  <c r="G27" i="30"/>
  <c r="G6" i="30"/>
  <c r="G7" i="30"/>
  <c r="G10" i="30"/>
  <c r="Q10" i="30" s="1"/>
  <c r="M27" i="30"/>
  <c r="M6" i="30"/>
  <c r="M5" i="30" s="1"/>
  <c r="N27" i="30"/>
  <c r="N6" i="30"/>
  <c r="N5" i="30" s="1"/>
  <c r="Q30" i="30"/>
  <c r="R30" i="30" s="1"/>
  <c r="U30" i="30" s="1"/>
  <c r="F27" i="30"/>
  <c r="F6" i="30"/>
  <c r="F5" i="30" s="1"/>
  <c r="I27" i="30"/>
  <c r="I6" i="30"/>
  <c r="I5" i="30" s="1"/>
  <c r="U226" i="2"/>
  <c r="T226" i="2"/>
  <c r="R226" i="2"/>
  <c r="U225" i="2"/>
  <c r="T225" i="2"/>
  <c r="R225" i="2"/>
  <c r="AP62" i="10"/>
  <c r="AP60" i="10" s="1"/>
  <c r="AP59" i="10" s="1"/>
  <c r="AO62" i="10"/>
  <c r="AO60" i="10" s="1"/>
  <c r="AO59" i="10" s="1"/>
  <c r="AN62" i="10"/>
  <c r="AN60" i="10" s="1"/>
  <c r="AN59" i="10" s="1"/>
  <c r="AM62" i="10"/>
  <c r="AM60" i="10" s="1"/>
  <c r="AM59" i="10" s="1"/>
  <c r="AL62" i="10"/>
  <c r="AL60" i="10" s="1"/>
  <c r="AL59" i="10" s="1"/>
  <c r="AK62" i="10"/>
  <c r="AK60" i="10" s="1"/>
  <c r="AK59" i="10" s="1"/>
  <c r="AJ62" i="10"/>
  <c r="AJ60" i="10" s="1"/>
  <c r="AJ59" i="10" s="1"/>
  <c r="AI62" i="10"/>
  <c r="AI60" i="10" s="1"/>
  <c r="AI59" i="10" s="1"/>
  <c r="AH62" i="10"/>
  <c r="AH60" i="10" s="1"/>
  <c r="AH59" i="10" s="1"/>
  <c r="AG62" i="10"/>
  <c r="AG60" i="10" s="1"/>
  <c r="AG59" i="10" s="1"/>
  <c r="AF62" i="10"/>
  <c r="AF60" i="10" s="1"/>
  <c r="AF59" i="10" s="1"/>
  <c r="AP32" i="10"/>
  <c r="AP30" i="10" s="1"/>
  <c r="AO32" i="10"/>
  <c r="AO30" i="10" s="1"/>
  <c r="AN32" i="10"/>
  <c r="AM32" i="10"/>
  <c r="AM30" i="10" s="1"/>
  <c r="AL32" i="10"/>
  <c r="AL30" i="10" s="1"/>
  <c r="AK32" i="10"/>
  <c r="AK30" i="10" s="1"/>
  <c r="AJ32" i="10"/>
  <c r="AJ30" i="10" s="1"/>
  <c r="AI32" i="10"/>
  <c r="AI30" i="10" s="1"/>
  <c r="AH32" i="10"/>
  <c r="AH30" i="10" s="1"/>
  <c r="AG32" i="10"/>
  <c r="AG30" i="10" s="1"/>
  <c r="AF32" i="10"/>
  <c r="AF30" i="10" s="1"/>
  <c r="AN30" i="10"/>
  <c r="Q23" i="3"/>
  <c r="R23" i="3" s="1"/>
  <c r="S23" i="3" s="1"/>
  <c r="AO21" i="10"/>
  <c r="AO19" i="10" s="1"/>
  <c r="AO17" i="10" s="1"/>
  <c r="AO80" i="10" s="1"/>
  <c r="AP19" i="10"/>
  <c r="AP17" i="10" s="1"/>
  <c r="AN19" i="10"/>
  <c r="AN17" i="10" s="1"/>
  <c r="AM19" i="10"/>
  <c r="AM17" i="10" s="1"/>
  <c r="AL19" i="10"/>
  <c r="AL17" i="10" s="1"/>
  <c r="AK19" i="10"/>
  <c r="AK17" i="10" s="1"/>
  <c r="AJ19" i="10"/>
  <c r="AJ17" i="10" s="1"/>
  <c r="AI19" i="10"/>
  <c r="AI17" i="10" s="1"/>
  <c r="AH19" i="10"/>
  <c r="AH17" i="10" s="1"/>
  <c r="AG19" i="10"/>
  <c r="AG17" i="10" s="1"/>
  <c r="AF19" i="10"/>
  <c r="AF17" i="10" s="1"/>
  <c r="G5" i="30" l="1"/>
  <c r="E5" i="30"/>
  <c r="Q6" i="30"/>
  <c r="Q5" i="30" s="1"/>
  <c r="Q27" i="30"/>
  <c r="E7" i="25"/>
  <c r="E8" i="25"/>
  <c r="J77" i="29" l="1"/>
  <c r="J74" i="29"/>
  <c r="J70" i="29"/>
  <c r="J68" i="29"/>
  <c r="J39" i="29"/>
  <c r="J37" i="29"/>
  <c r="J66" i="29"/>
  <c r="J65" i="29"/>
  <c r="J28" i="29"/>
  <c r="J18" i="29"/>
  <c r="C86" i="29" l="1"/>
  <c r="T32" i="10" l="1"/>
  <c r="T30" i="10" s="1"/>
  <c r="U32" i="10"/>
  <c r="U30" i="10" s="1"/>
  <c r="V32" i="10"/>
  <c r="V30" i="10" s="1"/>
  <c r="W32" i="10"/>
  <c r="W30" i="10" s="1"/>
  <c r="X32" i="10"/>
  <c r="X30" i="10" s="1"/>
  <c r="Y32" i="10"/>
  <c r="Y30" i="10" s="1"/>
  <c r="Z32" i="10"/>
  <c r="Z30" i="10" s="1"/>
  <c r="AA32" i="10"/>
  <c r="AA30" i="10" s="1"/>
  <c r="AD32" i="10"/>
  <c r="AD30" i="10" s="1"/>
  <c r="AE32" i="10"/>
  <c r="AE30" i="10" s="1"/>
  <c r="L21" i="10"/>
  <c r="M21" i="10" s="1"/>
  <c r="X21" i="3" l="1"/>
  <c r="S21" i="3"/>
  <c r="R21" i="3"/>
  <c r="Q21" i="3"/>
  <c r="P21" i="3"/>
  <c r="I21" i="3"/>
  <c r="H21" i="3"/>
  <c r="S4" i="2"/>
  <c r="S118" i="2"/>
  <c r="S116" i="2"/>
  <c r="S90" i="2"/>
  <c r="S12" i="2"/>
  <c r="S225" i="2" s="1"/>
  <c r="S7" i="2"/>
  <c r="S5" i="2"/>
  <c r="S226" i="2" l="1"/>
  <c r="V212" i="2"/>
  <c r="W212" i="2" s="1"/>
  <c r="V211" i="2"/>
  <c r="V223" i="2"/>
  <c r="W223" i="2" s="1"/>
  <c r="V222" i="2"/>
  <c r="V221" i="2"/>
  <c r="W221" i="2" s="1"/>
  <c r="V220" i="2"/>
  <c r="W220" i="2" s="1"/>
  <c r="V219" i="2"/>
  <c r="V218" i="2"/>
  <c r="V217" i="2"/>
  <c r="W217" i="2" s="1"/>
  <c r="V216" i="2"/>
  <c r="W216" i="2" s="1"/>
  <c r="V215" i="2"/>
  <c r="V214" i="2"/>
  <c r="V213" i="2"/>
  <c r="W213" i="2" s="1"/>
  <c r="V210" i="2"/>
  <c r="V209" i="2"/>
  <c r="V208" i="2"/>
  <c r="V207" i="2"/>
  <c r="V206" i="2"/>
  <c r="V205" i="2"/>
  <c r="V204" i="2"/>
  <c r="V203" i="2"/>
  <c r="V202" i="2"/>
  <c r="V201" i="2"/>
  <c r="W201" i="2" s="1"/>
  <c r="V200" i="2"/>
  <c r="V199" i="2"/>
  <c r="V198" i="2"/>
  <c r="W198" i="2" s="1"/>
  <c r="V197" i="2"/>
  <c r="W197" i="2" s="1"/>
  <c r="V196" i="2"/>
  <c r="V195" i="2"/>
  <c r="V194" i="2"/>
  <c r="W194" i="2" s="1"/>
  <c r="V193" i="2"/>
  <c r="V192" i="2"/>
  <c r="W192" i="2" s="1"/>
  <c r="V191" i="2"/>
  <c r="V190" i="2"/>
  <c r="W190" i="2" s="1"/>
  <c r="V189" i="2"/>
  <c r="V188" i="2"/>
  <c r="V187" i="2"/>
  <c r="V186" i="2"/>
  <c r="V185" i="2"/>
  <c r="V184" i="2"/>
  <c r="V183" i="2"/>
  <c r="V182" i="2"/>
  <c r="W182" i="2" s="1"/>
  <c r="V181" i="2"/>
  <c r="W181" i="2" s="1"/>
  <c r="V180" i="2"/>
  <c r="V179" i="2"/>
  <c r="V178" i="2"/>
  <c r="V177" i="2"/>
  <c r="V176" i="2"/>
  <c r="V175" i="2"/>
  <c r="V174" i="2"/>
  <c r="W174" i="2" s="1"/>
  <c r="V173" i="2"/>
  <c r="V172" i="2"/>
  <c r="W172" i="2" s="1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W154" i="2" s="1"/>
  <c r="V153" i="2"/>
  <c r="V152" i="2"/>
  <c r="W152" i="2" s="1"/>
  <c r="V151" i="2"/>
  <c r="V150" i="2"/>
  <c r="W150" i="2" s="1"/>
  <c r="V149" i="2"/>
  <c r="V148" i="2"/>
  <c r="V147" i="2"/>
  <c r="V146" i="2"/>
  <c r="W146" i="2" s="1"/>
  <c r="V145" i="2"/>
  <c r="V144" i="2"/>
  <c r="V143" i="2"/>
  <c r="V142" i="2"/>
  <c r="W142" i="2" s="1"/>
  <c r="V141" i="2"/>
  <c r="V140" i="2"/>
  <c r="V139" i="2"/>
  <c r="V138" i="2"/>
  <c r="V137" i="2"/>
  <c r="V136" i="2"/>
  <c r="V135" i="2"/>
  <c r="V134" i="2"/>
  <c r="V133" i="2"/>
  <c r="V132" i="2"/>
  <c r="W132" i="2" s="1"/>
  <c r="V131" i="2"/>
  <c r="V130" i="2"/>
  <c r="V129" i="2"/>
  <c r="V128" i="2"/>
  <c r="W128" i="2" s="1"/>
  <c r="V127" i="2"/>
  <c r="W127" i="2" s="1"/>
  <c r="V126" i="2"/>
  <c r="W126" i="2" s="1"/>
  <c r="V125" i="2"/>
  <c r="W125" i="2" s="1"/>
  <c r="V124" i="2"/>
  <c r="W124" i="2" s="1"/>
  <c r="V123" i="2"/>
  <c r="W123" i="2" s="1"/>
  <c r="V122" i="2"/>
  <c r="W122" i="2" s="1"/>
  <c r="V121" i="2"/>
  <c r="W121" i="2" s="1"/>
  <c r="V120" i="2"/>
  <c r="W120" i="2" s="1"/>
  <c r="V119" i="2"/>
  <c r="W119" i="2" s="1"/>
  <c r="V118" i="2"/>
  <c r="W118" i="2" s="1"/>
  <c r="X118" i="2" s="1"/>
  <c r="V117" i="2"/>
  <c r="W117" i="2" s="1"/>
  <c r="V116" i="2"/>
  <c r="W116" i="2" s="1"/>
  <c r="X116" i="2" s="1"/>
  <c r="V115" i="2"/>
  <c r="W115" i="2" s="1"/>
  <c r="V114" i="2"/>
  <c r="W114" i="2" s="1"/>
  <c r="V113" i="2"/>
  <c r="W113" i="2" s="1"/>
  <c r="V112" i="2"/>
  <c r="W112" i="2" s="1"/>
  <c r="V111" i="2"/>
  <c r="W111" i="2" s="1"/>
  <c r="V110" i="2"/>
  <c r="W110" i="2" s="1"/>
  <c r="V109" i="2"/>
  <c r="W109" i="2" s="1"/>
  <c r="V108" i="2"/>
  <c r="W108" i="2" s="1"/>
  <c r="V107" i="2"/>
  <c r="W107" i="2" s="1"/>
  <c r="V106" i="2"/>
  <c r="W106" i="2" s="1"/>
  <c r="V105" i="2"/>
  <c r="W105" i="2" s="1"/>
  <c r="V104" i="2"/>
  <c r="W104" i="2" s="1"/>
  <c r="V103" i="2"/>
  <c r="W103" i="2" s="1"/>
  <c r="V102" i="2"/>
  <c r="W102" i="2" s="1"/>
  <c r="V101" i="2"/>
  <c r="W101" i="2" s="1"/>
  <c r="V100" i="2"/>
  <c r="W100" i="2" s="1"/>
  <c r="V99" i="2"/>
  <c r="W99" i="2" s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X90" i="2" s="1"/>
  <c r="V89" i="2"/>
  <c r="V88" i="2"/>
  <c r="V87" i="2"/>
  <c r="V86" i="2"/>
  <c r="V85" i="2"/>
  <c r="V84" i="2"/>
  <c r="V83" i="2"/>
  <c r="W83" i="2" s="1"/>
  <c r="V82" i="2"/>
  <c r="V81" i="2"/>
  <c r="V80" i="2"/>
  <c r="V79" i="2"/>
  <c r="V78" i="2"/>
  <c r="V77" i="2"/>
  <c r="V76" i="2"/>
  <c r="W76" i="2" s="1"/>
  <c r="V75" i="2"/>
  <c r="V74" i="2"/>
  <c r="V73" i="2"/>
  <c r="V72" i="2"/>
  <c r="W72" i="2" s="1"/>
  <c r="V71" i="2"/>
  <c r="V70" i="2"/>
  <c r="V69" i="2"/>
  <c r="V68" i="2"/>
  <c r="V67" i="2"/>
  <c r="V66" i="2"/>
  <c r="V65" i="2"/>
  <c r="V64" i="2"/>
  <c r="W64" i="2" s="1"/>
  <c r="V63" i="2"/>
  <c r="W63" i="2" s="1"/>
  <c r="V62" i="2"/>
  <c r="W62" i="2" s="1"/>
  <c r="V61" i="2"/>
  <c r="V60" i="2"/>
  <c r="V59" i="2"/>
  <c r="W59" i="2" s="1"/>
  <c r="V58" i="2"/>
  <c r="V57" i="2"/>
  <c r="V56" i="2"/>
  <c r="W56" i="2" s="1"/>
  <c r="V55" i="2"/>
  <c r="V54" i="2"/>
  <c r="V53" i="2"/>
  <c r="W53" i="2" s="1"/>
  <c r="V52" i="2"/>
  <c r="V51" i="2"/>
  <c r="V50" i="2"/>
  <c r="V49" i="2"/>
  <c r="V48" i="2"/>
  <c r="W48" i="2" s="1"/>
  <c r="V47" i="2"/>
  <c r="V46" i="2"/>
  <c r="W46" i="2" s="1"/>
  <c r="V45" i="2"/>
  <c r="W45" i="2" s="1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W32" i="2" s="1"/>
  <c r="V31" i="2"/>
  <c r="V30" i="2"/>
  <c r="V29" i="2"/>
  <c r="V28" i="2"/>
  <c r="V27" i="2"/>
  <c r="W27" i="2" s="1"/>
  <c r="V26" i="2"/>
  <c r="V25" i="2"/>
  <c r="V24" i="2"/>
  <c r="W24" i="2" s="1"/>
  <c r="V23" i="2"/>
  <c r="V22" i="2"/>
  <c r="V21" i="2"/>
  <c r="V20" i="2"/>
  <c r="W20" i="2" s="1"/>
  <c r="V19" i="2"/>
  <c r="W19" i="2" s="1"/>
  <c r="V18" i="2"/>
  <c r="W18" i="2" s="1"/>
  <c r="V17" i="2"/>
  <c r="W17" i="2" s="1"/>
  <c r="V16" i="2"/>
  <c r="V15" i="2"/>
  <c r="V14" i="2"/>
  <c r="W14" i="2" s="1"/>
  <c r="V13" i="2"/>
  <c r="W13" i="2" s="1"/>
  <c r="AG13" i="2" s="1"/>
  <c r="AH13" i="2" s="1"/>
  <c r="V12" i="2"/>
  <c r="W12" i="2" s="1"/>
  <c r="X12" i="2" s="1"/>
  <c r="V11" i="2"/>
  <c r="W11" i="2" s="1"/>
  <c r="V10" i="2"/>
  <c r="W10" i="2" s="1"/>
  <c r="V9" i="2"/>
  <c r="W9" i="2" s="1"/>
  <c r="V8" i="2"/>
  <c r="W8" i="2" s="1"/>
  <c r="V7" i="2"/>
  <c r="V6" i="2"/>
  <c r="W6" i="2" s="1"/>
  <c r="V5" i="2"/>
  <c r="W44" i="2" l="1"/>
  <c r="AE44" i="2" s="1"/>
  <c r="AF44" i="2" s="1"/>
  <c r="W52" i="2"/>
  <c r="AI52" i="2" s="1"/>
  <c r="AJ52" i="2" s="1"/>
  <c r="W60" i="2"/>
  <c r="AA60" i="2" s="1"/>
  <c r="AB60" i="2" s="1"/>
  <c r="W68" i="2"/>
  <c r="AA68" i="2" s="1"/>
  <c r="AB68" i="2" s="1"/>
  <c r="W80" i="2"/>
  <c r="AG80" i="2" s="1"/>
  <c r="AH80" i="2" s="1"/>
  <c r="W84" i="2"/>
  <c r="AG84" i="2" s="1"/>
  <c r="AH84" i="2" s="1"/>
  <c r="W88" i="2"/>
  <c r="AC88" i="2" s="1"/>
  <c r="AD88" i="2" s="1"/>
  <c r="W136" i="2"/>
  <c r="AI136" i="2" s="1"/>
  <c r="AJ136" i="2" s="1"/>
  <c r="W140" i="2"/>
  <c r="AI140" i="2" s="1"/>
  <c r="AJ140" i="2" s="1"/>
  <c r="W144" i="2"/>
  <c r="AG144" i="2" s="1"/>
  <c r="AH144" i="2" s="1"/>
  <c r="W148" i="2"/>
  <c r="AI148" i="2" s="1"/>
  <c r="AJ148" i="2" s="1"/>
  <c r="W156" i="2"/>
  <c r="AE156" i="2" s="1"/>
  <c r="AF156" i="2" s="1"/>
  <c r="W160" i="2"/>
  <c r="AE160" i="2" s="1"/>
  <c r="AF160" i="2" s="1"/>
  <c r="W164" i="2"/>
  <c r="AE164" i="2" s="1"/>
  <c r="AF164" i="2" s="1"/>
  <c r="W168" i="2"/>
  <c r="AI168" i="2" s="1"/>
  <c r="AJ168" i="2" s="1"/>
  <c r="W176" i="2"/>
  <c r="AI176" i="2" s="1"/>
  <c r="AJ176" i="2" s="1"/>
  <c r="W180" i="2"/>
  <c r="AC180" i="2" s="1"/>
  <c r="AD180" i="2" s="1"/>
  <c r="W184" i="2"/>
  <c r="AC184" i="2" s="1"/>
  <c r="AD184" i="2" s="1"/>
  <c r="W188" i="2"/>
  <c r="AI188" i="2" s="1"/>
  <c r="AJ188" i="2" s="1"/>
  <c r="W196" i="2"/>
  <c r="AC196" i="2" s="1"/>
  <c r="AD196" i="2" s="1"/>
  <c r="W200" i="2"/>
  <c r="AI200" i="2" s="1"/>
  <c r="AJ200" i="2" s="1"/>
  <c r="W204" i="2"/>
  <c r="AI204" i="2" s="1"/>
  <c r="AJ204" i="2" s="1"/>
  <c r="W208" i="2"/>
  <c r="AI208" i="2" s="1"/>
  <c r="AJ208" i="2" s="1"/>
  <c r="W57" i="2"/>
  <c r="AC57" i="2" s="1"/>
  <c r="AD57" i="2" s="1"/>
  <c r="W61" i="2"/>
  <c r="Y61" i="2" s="1"/>
  <c r="Z61" i="2" s="1"/>
  <c r="W65" i="2"/>
  <c r="AE65" i="2" s="1"/>
  <c r="AF65" i="2" s="1"/>
  <c r="W69" i="2"/>
  <c r="AC69" i="2" s="1"/>
  <c r="AD69" i="2" s="1"/>
  <c r="W73" i="2"/>
  <c r="AE73" i="2" s="1"/>
  <c r="AF73" i="2" s="1"/>
  <c r="W77" i="2"/>
  <c r="Y77" i="2" s="1"/>
  <c r="Z77" i="2" s="1"/>
  <c r="W81" i="2"/>
  <c r="AI81" i="2" s="1"/>
  <c r="AJ81" i="2" s="1"/>
  <c r="W85" i="2"/>
  <c r="AE85" i="2" s="1"/>
  <c r="AF85" i="2" s="1"/>
  <c r="W89" i="2"/>
  <c r="AA89" i="2" s="1"/>
  <c r="AB89" i="2" s="1"/>
  <c r="W129" i="2"/>
  <c r="AA129" i="2" s="1"/>
  <c r="AB129" i="2" s="1"/>
  <c r="W133" i="2"/>
  <c r="AE133" i="2" s="1"/>
  <c r="AF133" i="2" s="1"/>
  <c r="W137" i="2"/>
  <c r="AE137" i="2" s="1"/>
  <c r="AF137" i="2" s="1"/>
  <c r="W141" i="2"/>
  <c r="AE141" i="2" s="1"/>
  <c r="AF141" i="2" s="1"/>
  <c r="W145" i="2"/>
  <c r="Y145" i="2" s="1"/>
  <c r="Z145" i="2" s="1"/>
  <c r="W149" i="2"/>
  <c r="AE149" i="2" s="1"/>
  <c r="AF149" i="2" s="1"/>
  <c r="W153" i="2"/>
  <c r="AE153" i="2" s="1"/>
  <c r="AF153" i="2" s="1"/>
  <c r="W157" i="2"/>
  <c r="AE157" i="2" s="1"/>
  <c r="AF157" i="2" s="1"/>
  <c r="W161" i="2"/>
  <c r="AG161" i="2" s="1"/>
  <c r="AH161" i="2" s="1"/>
  <c r="W165" i="2"/>
  <c r="AE165" i="2" s="1"/>
  <c r="AF165" i="2" s="1"/>
  <c r="W169" i="2"/>
  <c r="AI169" i="2" s="1"/>
  <c r="AJ169" i="2" s="1"/>
  <c r="W173" i="2"/>
  <c r="AC173" i="2" s="1"/>
  <c r="AD173" i="2" s="1"/>
  <c r="W177" i="2"/>
  <c r="Y177" i="2" s="1"/>
  <c r="Z177" i="2" s="1"/>
  <c r="W185" i="2"/>
  <c r="AC185" i="2" s="1"/>
  <c r="AD185" i="2" s="1"/>
  <c r="W189" i="2"/>
  <c r="AG189" i="2" s="1"/>
  <c r="AH189" i="2" s="1"/>
  <c r="W193" i="2"/>
  <c r="AI193" i="2" s="1"/>
  <c r="AJ193" i="2" s="1"/>
  <c r="W205" i="2"/>
  <c r="Y205" i="2" s="1"/>
  <c r="Z205" i="2" s="1"/>
  <c r="W209" i="2"/>
  <c r="AC209" i="2" s="1"/>
  <c r="AD209" i="2" s="1"/>
  <c r="AC46" i="2"/>
  <c r="AD46" i="2" s="1"/>
  <c r="AI216" i="2"/>
  <c r="AJ216" i="2" s="1"/>
  <c r="AI220" i="2"/>
  <c r="AJ220" i="2" s="1"/>
  <c r="W54" i="2"/>
  <c r="AC54" i="2" s="1"/>
  <c r="AD54" i="2" s="1"/>
  <c r="W58" i="2"/>
  <c r="AA58" i="2" s="1"/>
  <c r="AB58" i="2" s="1"/>
  <c r="W66" i="2"/>
  <c r="AG66" i="2" s="1"/>
  <c r="AH66" i="2" s="1"/>
  <c r="W70" i="2"/>
  <c r="AE70" i="2" s="1"/>
  <c r="AF70" i="2" s="1"/>
  <c r="W74" i="2"/>
  <c r="AA74" i="2" s="1"/>
  <c r="AB74" i="2" s="1"/>
  <c r="W78" i="2"/>
  <c r="AG78" i="2" s="1"/>
  <c r="AH78" i="2" s="1"/>
  <c r="W82" i="2"/>
  <c r="Y82" i="2" s="1"/>
  <c r="Z82" i="2" s="1"/>
  <c r="W86" i="2"/>
  <c r="Y86" i="2" s="1"/>
  <c r="Z86" i="2" s="1"/>
  <c r="W130" i="2"/>
  <c r="AI130" i="2" s="1"/>
  <c r="AJ130" i="2" s="1"/>
  <c r="W134" i="2"/>
  <c r="AI134" i="2" s="1"/>
  <c r="AJ134" i="2" s="1"/>
  <c r="W138" i="2"/>
  <c r="AI138" i="2" s="1"/>
  <c r="AJ138" i="2" s="1"/>
  <c r="W158" i="2"/>
  <c r="AG158" i="2" s="1"/>
  <c r="AH158" i="2" s="1"/>
  <c r="W162" i="2"/>
  <c r="AG162" i="2" s="1"/>
  <c r="AH162" i="2" s="1"/>
  <c r="W166" i="2"/>
  <c r="AG166" i="2" s="1"/>
  <c r="AH166" i="2" s="1"/>
  <c r="W170" i="2"/>
  <c r="AG170" i="2" s="1"/>
  <c r="AH170" i="2" s="1"/>
  <c r="W178" i="2"/>
  <c r="AG178" i="2" s="1"/>
  <c r="AH178" i="2" s="1"/>
  <c r="W186" i="2"/>
  <c r="AE186" i="2" s="1"/>
  <c r="AF186" i="2" s="1"/>
  <c r="W202" i="2"/>
  <c r="AE202" i="2" s="1"/>
  <c r="AF202" i="2" s="1"/>
  <c r="W206" i="2"/>
  <c r="AE206" i="2" s="1"/>
  <c r="AF206" i="2" s="1"/>
  <c r="W210" i="2"/>
  <c r="AE210" i="2" s="1"/>
  <c r="AF210" i="2" s="1"/>
  <c r="W214" i="2"/>
  <c r="AE214" i="2" s="1"/>
  <c r="AF214" i="2" s="1"/>
  <c r="W218" i="2"/>
  <c r="AE218" i="2" s="1"/>
  <c r="AF218" i="2" s="1"/>
  <c r="W222" i="2"/>
  <c r="AG222" i="2" s="1"/>
  <c r="AH222" i="2" s="1"/>
  <c r="AC213" i="2"/>
  <c r="AD213" i="2" s="1"/>
  <c r="AC217" i="2"/>
  <c r="AD217" i="2" s="1"/>
  <c r="AC221" i="2"/>
  <c r="AD221" i="2" s="1"/>
  <c r="AI212" i="2"/>
  <c r="AJ212" i="2" s="1"/>
  <c r="W50" i="2"/>
  <c r="AI50" i="2" s="1"/>
  <c r="AJ50" i="2" s="1"/>
  <c r="W55" i="2"/>
  <c r="AC55" i="2" s="1"/>
  <c r="AD55" i="2" s="1"/>
  <c r="W67" i="2"/>
  <c r="Y67" i="2" s="1"/>
  <c r="Z67" i="2" s="1"/>
  <c r="W71" i="2"/>
  <c r="AE71" i="2" s="1"/>
  <c r="AF71" i="2" s="1"/>
  <c r="W75" i="2"/>
  <c r="AC75" i="2" s="1"/>
  <c r="AD75" i="2" s="1"/>
  <c r="W79" i="2"/>
  <c r="AA79" i="2" s="1"/>
  <c r="AB79" i="2" s="1"/>
  <c r="W87" i="2"/>
  <c r="AA87" i="2" s="1"/>
  <c r="AB87" i="2" s="1"/>
  <c r="W131" i="2"/>
  <c r="AE131" i="2" s="1"/>
  <c r="AF131" i="2" s="1"/>
  <c r="W135" i="2"/>
  <c r="AE135" i="2" s="1"/>
  <c r="AF135" i="2" s="1"/>
  <c r="W139" i="2"/>
  <c r="AE139" i="2" s="1"/>
  <c r="AF139" i="2" s="1"/>
  <c r="W143" i="2"/>
  <c r="AI143" i="2" s="1"/>
  <c r="AJ143" i="2" s="1"/>
  <c r="W147" i="2"/>
  <c r="AI147" i="2" s="1"/>
  <c r="AJ147" i="2" s="1"/>
  <c r="W151" i="2"/>
  <c r="AI151" i="2" s="1"/>
  <c r="AJ151" i="2" s="1"/>
  <c r="W155" i="2"/>
  <c r="AI155" i="2" s="1"/>
  <c r="AJ155" i="2" s="1"/>
  <c r="W159" i="2"/>
  <c r="AI159" i="2" s="1"/>
  <c r="AJ159" i="2" s="1"/>
  <c r="W163" i="2"/>
  <c r="AI163" i="2" s="1"/>
  <c r="AJ163" i="2" s="1"/>
  <c r="W167" i="2"/>
  <c r="AG167" i="2" s="1"/>
  <c r="AH167" i="2" s="1"/>
  <c r="W171" i="2"/>
  <c r="AC171" i="2" s="1"/>
  <c r="AD171" i="2" s="1"/>
  <c r="W175" i="2"/>
  <c r="AE175" i="2" s="1"/>
  <c r="AF175" i="2" s="1"/>
  <c r="W179" i="2"/>
  <c r="AI179" i="2" s="1"/>
  <c r="AJ179" i="2" s="1"/>
  <c r="W183" i="2"/>
  <c r="AI183" i="2" s="1"/>
  <c r="AJ183" i="2" s="1"/>
  <c r="W187" i="2"/>
  <c r="AC187" i="2" s="1"/>
  <c r="AD187" i="2" s="1"/>
  <c r="W191" i="2"/>
  <c r="AE191" i="2" s="1"/>
  <c r="AF191" i="2" s="1"/>
  <c r="W195" i="2"/>
  <c r="AI195" i="2" s="1"/>
  <c r="AJ195" i="2" s="1"/>
  <c r="W199" i="2"/>
  <c r="AI199" i="2" s="1"/>
  <c r="AJ199" i="2" s="1"/>
  <c r="W203" i="2"/>
  <c r="AG203" i="2" s="1"/>
  <c r="AH203" i="2" s="1"/>
  <c r="W207" i="2"/>
  <c r="AG207" i="2" s="1"/>
  <c r="AH207" i="2" s="1"/>
  <c r="W211" i="2"/>
  <c r="AG211" i="2" s="1"/>
  <c r="AH211" i="2" s="1"/>
  <c r="W215" i="2"/>
  <c r="AG215" i="2" s="1"/>
  <c r="AH215" i="2" s="1"/>
  <c r="W219" i="2"/>
  <c r="AG219" i="2" s="1"/>
  <c r="AH219" i="2" s="1"/>
  <c r="W16" i="2"/>
  <c r="AE16" i="2" s="1"/>
  <c r="AF16" i="2" s="1"/>
  <c r="W28" i="2"/>
  <c r="Y28" i="2" s="1"/>
  <c r="Z28" i="2" s="1"/>
  <c r="W36" i="2"/>
  <c r="Y36" i="2" s="1"/>
  <c r="Z36" i="2" s="1"/>
  <c r="W40" i="2"/>
  <c r="AG40" i="2" s="1"/>
  <c r="AH40" i="2" s="1"/>
  <c r="W21" i="2"/>
  <c r="AG21" i="2" s="1"/>
  <c r="AH21" i="2" s="1"/>
  <c r="W25" i="2"/>
  <c r="AE25" i="2" s="1"/>
  <c r="AF25" i="2" s="1"/>
  <c r="W29" i="2"/>
  <c r="AI29" i="2" s="1"/>
  <c r="AJ29" i="2" s="1"/>
  <c r="W33" i="2"/>
  <c r="AC33" i="2" s="1"/>
  <c r="AD33" i="2" s="1"/>
  <c r="W37" i="2"/>
  <c r="AG37" i="2" s="1"/>
  <c r="AH37" i="2" s="1"/>
  <c r="W41" i="2"/>
  <c r="AC41" i="2" s="1"/>
  <c r="AD41" i="2" s="1"/>
  <c r="W49" i="2"/>
  <c r="AC49" i="2" s="1"/>
  <c r="AD49" i="2" s="1"/>
  <c r="W5" i="2"/>
  <c r="AI5" i="2" s="1"/>
  <c r="AJ5" i="2" s="1"/>
  <c r="W7" i="2"/>
  <c r="AI7" i="2" s="1"/>
  <c r="AJ7" i="2" s="1"/>
  <c r="W22" i="2"/>
  <c r="Y22" i="2" s="1"/>
  <c r="Z22" i="2" s="1"/>
  <c r="W26" i="2"/>
  <c r="AA26" i="2" s="1"/>
  <c r="AB26" i="2" s="1"/>
  <c r="W30" i="2"/>
  <c r="AC30" i="2" s="1"/>
  <c r="AD30" i="2" s="1"/>
  <c r="W34" i="2"/>
  <c r="AA34" i="2" s="1"/>
  <c r="AB34" i="2" s="1"/>
  <c r="W38" i="2"/>
  <c r="AI38" i="2" s="1"/>
  <c r="AJ38" i="2" s="1"/>
  <c r="W42" i="2"/>
  <c r="AA42" i="2" s="1"/>
  <c r="AB42" i="2" s="1"/>
  <c r="W15" i="2"/>
  <c r="AG15" i="2" s="1"/>
  <c r="AH15" i="2" s="1"/>
  <c r="W23" i="2"/>
  <c r="AA23" i="2" s="1"/>
  <c r="AB23" i="2" s="1"/>
  <c r="W31" i="2"/>
  <c r="AC31" i="2" s="1"/>
  <c r="AD31" i="2" s="1"/>
  <c r="W35" i="2"/>
  <c r="AC35" i="2" s="1"/>
  <c r="AD35" i="2" s="1"/>
  <c r="W39" i="2"/>
  <c r="Y39" i="2" s="1"/>
  <c r="Z39" i="2" s="1"/>
  <c r="W43" i="2"/>
  <c r="AC43" i="2" s="1"/>
  <c r="AD43" i="2" s="1"/>
  <c r="W47" i="2"/>
  <c r="AI47" i="2" s="1"/>
  <c r="AJ47" i="2" s="1"/>
  <c r="W51" i="2"/>
  <c r="AC51" i="2" s="1"/>
  <c r="AD51" i="2" s="1"/>
  <c r="AA130" i="2"/>
  <c r="AB130" i="2" s="1"/>
  <c r="AG153" i="2"/>
  <c r="AH153" i="2" s="1"/>
  <c r="AA162" i="2"/>
  <c r="AB162" i="2" s="1"/>
  <c r="Y11" i="2"/>
  <c r="Z11" i="2" s="1"/>
  <c r="AG11" i="2"/>
  <c r="AH11" i="2" s="1"/>
  <c r="Y17" i="2"/>
  <c r="Z17" i="2" s="1"/>
  <c r="AG17" i="2"/>
  <c r="AH17" i="2" s="1"/>
  <c r="AI20" i="2"/>
  <c r="AJ20" i="2" s="1"/>
  <c r="Y20" i="2"/>
  <c r="Z20" i="2" s="1"/>
  <c r="AE20" i="2"/>
  <c r="AF20" i="2" s="1"/>
  <c r="AA20" i="2"/>
  <c r="AB20" i="2" s="1"/>
  <c r="AG9" i="2"/>
  <c r="Y9" i="2"/>
  <c r="AC63" i="2"/>
  <c r="AD63" i="2" s="1"/>
  <c r="AG63" i="2"/>
  <c r="AH63" i="2" s="1"/>
  <c r="Y63" i="2"/>
  <c r="Z63" i="2" s="1"/>
  <c r="AA63" i="2"/>
  <c r="AB63" i="2" s="1"/>
  <c r="AG72" i="2"/>
  <c r="AH72" i="2" s="1"/>
  <c r="AC72" i="2"/>
  <c r="AD72" i="2" s="1"/>
  <c r="AG192" i="2"/>
  <c r="AH192" i="2" s="1"/>
  <c r="AA192" i="2"/>
  <c r="AB192" i="2" s="1"/>
  <c r="AA53" i="2"/>
  <c r="AB53" i="2" s="1"/>
  <c r="AG53" i="2"/>
  <c r="AH53" i="2" s="1"/>
  <c r="AI44" i="2"/>
  <c r="AJ44" i="2" s="1"/>
  <c r="AA44" i="2"/>
  <c r="AB44" i="2" s="1"/>
  <c r="AE63" i="2"/>
  <c r="AF63" i="2" s="1"/>
  <c r="AI76" i="2"/>
  <c r="AJ76" i="2" s="1"/>
  <c r="AE76" i="2"/>
  <c r="AF76" i="2" s="1"/>
  <c r="Y76" i="2"/>
  <c r="Z76" i="2" s="1"/>
  <c r="Y13" i="2"/>
  <c r="Z13" i="2" s="1"/>
  <c r="Y44" i="2"/>
  <c r="Z44" i="2" s="1"/>
  <c r="AE46" i="2"/>
  <c r="AF46" i="2" s="1"/>
  <c r="Y46" i="2"/>
  <c r="Z46" i="2" s="1"/>
  <c r="Y52" i="2"/>
  <c r="Z52" i="2" s="1"/>
  <c r="Y54" i="2"/>
  <c r="Z54" i="2" s="1"/>
  <c r="AI63" i="2"/>
  <c r="AJ63" i="2" s="1"/>
  <c r="AA76" i="2"/>
  <c r="AB76" i="2" s="1"/>
  <c r="AE172" i="2"/>
  <c r="AF172" i="2" s="1"/>
  <c r="AA172" i="2"/>
  <c r="AB172" i="2" s="1"/>
  <c r="AI158" i="2"/>
  <c r="AJ158" i="2" s="1"/>
  <c r="AC161" i="2"/>
  <c r="AD161" i="2" s="1"/>
  <c r="AC212" i="2"/>
  <c r="AD212" i="2" s="1"/>
  <c r="AC220" i="2"/>
  <c r="AD220" i="2" s="1"/>
  <c r="AE177" i="2"/>
  <c r="AF177" i="2" s="1"/>
  <c r="AC200" i="2"/>
  <c r="AD200" i="2" s="1"/>
  <c r="AG200" i="2"/>
  <c r="AH200" i="2" s="1"/>
  <c r="AC216" i="2"/>
  <c r="AD216" i="2" s="1"/>
  <c r="AG6" i="2"/>
  <c r="AH6" i="2" s="1"/>
  <c r="AC6" i="2"/>
  <c r="AD6" i="2" s="1"/>
  <c r="Y6" i="2"/>
  <c r="Z6" i="2" s="1"/>
  <c r="AE6" i="2"/>
  <c r="AF6" i="2" s="1"/>
  <c r="AA6" i="2"/>
  <c r="AB6" i="2" s="1"/>
  <c r="AI6" i="2"/>
  <c r="AJ6" i="2" s="1"/>
  <c r="AE18" i="2"/>
  <c r="AF18" i="2" s="1"/>
  <c r="AI18" i="2"/>
  <c r="AJ18" i="2" s="1"/>
  <c r="AC18" i="2"/>
  <c r="AD18" i="2" s="1"/>
  <c r="Y18" i="2"/>
  <c r="Z18" i="2" s="1"/>
  <c r="AG18" i="2"/>
  <c r="AH18" i="2" s="1"/>
  <c r="AA18" i="2"/>
  <c r="AB18" i="2" s="1"/>
  <c r="AA64" i="2"/>
  <c r="AB64" i="2" s="1"/>
  <c r="AE64" i="2"/>
  <c r="AF64" i="2" s="1"/>
  <c r="Y64" i="2"/>
  <c r="Z64" i="2" s="1"/>
  <c r="AI64" i="2"/>
  <c r="AJ64" i="2" s="1"/>
  <c r="AC64" i="2"/>
  <c r="AD64" i="2" s="1"/>
  <c r="AG64" i="2"/>
  <c r="AH64" i="2" s="1"/>
  <c r="AG10" i="2"/>
  <c r="AH10" i="2" s="1"/>
  <c r="AC10" i="2"/>
  <c r="AD10" i="2" s="1"/>
  <c r="Y10" i="2"/>
  <c r="Z10" i="2" s="1"/>
  <c r="AE10" i="2"/>
  <c r="AF10" i="2" s="1"/>
  <c r="AA10" i="2"/>
  <c r="AB10" i="2" s="1"/>
  <c r="AI10" i="2"/>
  <c r="AJ10" i="2" s="1"/>
  <c r="AA32" i="2"/>
  <c r="AB32" i="2" s="1"/>
  <c r="AE32" i="2"/>
  <c r="AF32" i="2" s="1"/>
  <c r="Y32" i="2"/>
  <c r="Z32" i="2" s="1"/>
  <c r="AI32" i="2"/>
  <c r="AJ32" i="2" s="1"/>
  <c r="AG32" i="2"/>
  <c r="AH32" i="2" s="1"/>
  <c r="AC32" i="2"/>
  <c r="AD32" i="2" s="1"/>
  <c r="AA56" i="2"/>
  <c r="AB56" i="2" s="1"/>
  <c r="AE56" i="2"/>
  <c r="AF56" i="2" s="1"/>
  <c r="Y56" i="2"/>
  <c r="Z56" i="2" s="1"/>
  <c r="AC56" i="2"/>
  <c r="AD56" i="2" s="1"/>
  <c r="AG56" i="2"/>
  <c r="AH56" i="2" s="1"/>
  <c r="AI56" i="2"/>
  <c r="AJ56" i="2" s="1"/>
  <c r="AG14" i="2"/>
  <c r="AH14" i="2" s="1"/>
  <c r="AC14" i="2"/>
  <c r="AD14" i="2" s="1"/>
  <c r="Y14" i="2"/>
  <c r="Z14" i="2" s="1"/>
  <c r="AE14" i="2"/>
  <c r="AF14" i="2" s="1"/>
  <c r="AI14" i="2"/>
  <c r="AJ14" i="2" s="1"/>
  <c r="AA14" i="2"/>
  <c r="AB14" i="2" s="1"/>
  <c r="AA24" i="2"/>
  <c r="AB24" i="2" s="1"/>
  <c r="AE24" i="2"/>
  <c r="AF24" i="2" s="1"/>
  <c r="Y24" i="2"/>
  <c r="Z24" i="2" s="1"/>
  <c r="AC24" i="2"/>
  <c r="AD24" i="2" s="1"/>
  <c r="AI24" i="2"/>
  <c r="AJ24" i="2" s="1"/>
  <c r="AG24" i="2"/>
  <c r="AH24" i="2" s="1"/>
  <c r="AG19" i="2"/>
  <c r="AH19" i="2" s="1"/>
  <c r="AA19" i="2"/>
  <c r="AB19" i="2" s="1"/>
  <c r="AE19" i="2"/>
  <c r="AF19" i="2" s="1"/>
  <c r="AE45" i="2"/>
  <c r="AF45" i="2" s="1"/>
  <c r="AI45" i="2"/>
  <c r="AJ45" i="2" s="1"/>
  <c r="Y45" i="2"/>
  <c r="Z45" i="2" s="1"/>
  <c r="AA48" i="2"/>
  <c r="AB48" i="2" s="1"/>
  <c r="AE48" i="2"/>
  <c r="AF48" i="2" s="1"/>
  <c r="Y48" i="2"/>
  <c r="Z48" i="2" s="1"/>
  <c r="AI48" i="2"/>
  <c r="AJ48" i="2" s="1"/>
  <c r="AG83" i="2"/>
  <c r="AH83" i="2" s="1"/>
  <c r="AC83" i="2"/>
  <c r="AD83" i="2" s="1"/>
  <c r="Y83" i="2"/>
  <c r="Z83" i="2" s="1"/>
  <c r="AI83" i="2"/>
  <c r="AJ83" i="2" s="1"/>
  <c r="AA83" i="2"/>
  <c r="AB83" i="2" s="1"/>
  <c r="AG108" i="2"/>
  <c r="AH108" i="2" s="1"/>
  <c r="AC108" i="2"/>
  <c r="AD108" i="2" s="1"/>
  <c r="Y108" i="2"/>
  <c r="Z108" i="2" s="1"/>
  <c r="AI108" i="2"/>
  <c r="AJ108" i="2" s="1"/>
  <c r="AE108" i="2"/>
  <c r="AF108" i="2" s="1"/>
  <c r="AA108" i="2"/>
  <c r="AB108" i="2" s="1"/>
  <c r="AI154" i="2"/>
  <c r="AJ154" i="2" s="1"/>
  <c r="AA154" i="2"/>
  <c r="AB154" i="2" s="1"/>
  <c r="AG154" i="2"/>
  <c r="AH154" i="2" s="1"/>
  <c r="Y154" i="2"/>
  <c r="Z154" i="2" s="1"/>
  <c r="AE154" i="2"/>
  <c r="AF154" i="2" s="1"/>
  <c r="AC154" i="2"/>
  <c r="AD154" i="2" s="1"/>
  <c r="AG27" i="2"/>
  <c r="AH27" i="2" s="1"/>
  <c r="AA27" i="2"/>
  <c r="AB27" i="2" s="1"/>
  <c r="AE27" i="2"/>
  <c r="AF27" i="2" s="1"/>
  <c r="AA45" i="2"/>
  <c r="AB45" i="2" s="1"/>
  <c r="AI97" i="2"/>
  <c r="AJ97" i="2" s="1"/>
  <c r="AE97" i="2"/>
  <c r="AF97" i="2" s="1"/>
  <c r="AA97" i="2"/>
  <c r="AB97" i="2" s="1"/>
  <c r="AG97" i="2"/>
  <c r="AH97" i="2" s="1"/>
  <c r="AC97" i="2"/>
  <c r="AD97" i="2" s="1"/>
  <c r="Y97" i="2"/>
  <c r="Z97" i="2" s="1"/>
  <c r="AI105" i="2"/>
  <c r="AJ105" i="2" s="1"/>
  <c r="AE105" i="2"/>
  <c r="AF105" i="2" s="1"/>
  <c r="AA105" i="2"/>
  <c r="AB105" i="2" s="1"/>
  <c r="AG105" i="2"/>
  <c r="AH105" i="2" s="1"/>
  <c r="AC105" i="2"/>
  <c r="AD105" i="2" s="1"/>
  <c r="Y105" i="2"/>
  <c r="Z105" i="2" s="1"/>
  <c r="AI113" i="2"/>
  <c r="AJ113" i="2" s="1"/>
  <c r="AE113" i="2"/>
  <c r="AF113" i="2" s="1"/>
  <c r="AA113" i="2"/>
  <c r="AB113" i="2" s="1"/>
  <c r="AG113" i="2"/>
  <c r="AH113" i="2" s="1"/>
  <c r="AC113" i="2"/>
  <c r="AD113" i="2" s="1"/>
  <c r="Y113" i="2"/>
  <c r="Z113" i="2" s="1"/>
  <c r="AI121" i="2"/>
  <c r="AJ121" i="2" s="1"/>
  <c r="AE121" i="2"/>
  <c r="AF121" i="2" s="1"/>
  <c r="AA121" i="2"/>
  <c r="AB121" i="2" s="1"/>
  <c r="AG121" i="2"/>
  <c r="AH121" i="2" s="1"/>
  <c r="AC121" i="2"/>
  <c r="AD121" i="2" s="1"/>
  <c r="Y121" i="2"/>
  <c r="Z121" i="2" s="1"/>
  <c r="AC132" i="2"/>
  <c r="AD132" i="2" s="1"/>
  <c r="AG132" i="2"/>
  <c r="AH132" i="2" s="1"/>
  <c r="Y132" i="2"/>
  <c r="Z132" i="2" s="1"/>
  <c r="AE132" i="2"/>
  <c r="AF132" i="2" s="1"/>
  <c r="AA132" i="2"/>
  <c r="AB132" i="2" s="1"/>
  <c r="AI132" i="2"/>
  <c r="AJ132" i="2" s="1"/>
  <c r="AG8" i="2"/>
  <c r="AH8" i="2" s="1"/>
  <c r="AC8" i="2"/>
  <c r="AD8" i="2" s="1"/>
  <c r="Y8" i="2"/>
  <c r="Z8" i="2" s="1"/>
  <c r="AI8" i="2"/>
  <c r="AJ8" i="2" s="1"/>
  <c r="AG12" i="2"/>
  <c r="AH12" i="2" s="1"/>
  <c r="AC12" i="2"/>
  <c r="AD12" i="2" s="1"/>
  <c r="Y12" i="2"/>
  <c r="Z12" i="2" s="1"/>
  <c r="AI12" i="2"/>
  <c r="AJ12" i="2" s="1"/>
  <c r="AG62" i="2"/>
  <c r="AH62" i="2" s="1"/>
  <c r="AA62" i="2"/>
  <c r="AB62" i="2" s="1"/>
  <c r="AI62" i="2"/>
  <c r="AJ62" i="2" s="1"/>
  <c r="AI86" i="2"/>
  <c r="AJ86" i="2" s="1"/>
  <c r="AE86" i="2"/>
  <c r="AF86" i="2" s="1"/>
  <c r="AA86" i="2"/>
  <c r="AB86" i="2" s="1"/>
  <c r="AC86" i="2"/>
  <c r="AD86" i="2" s="1"/>
  <c r="AG100" i="2"/>
  <c r="AH100" i="2" s="1"/>
  <c r="AC100" i="2"/>
  <c r="AD100" i="2" s="1"/>
  <c r="Y100" i="2"/>
  <c r="Z100" i="2" s="1"/>
  <c r="AI100" i="2"/>
  <c r="AJ100" i="2" s="1"/>
  <c r="AE100" i="2"/>
  <c r="AF100" i="2" s="1"/>
  <c r="AA100" i="2"/>
  <c r="AB100" i="2" s="1"/>
  <c r="AG116" i="2"/>
  <c r="AH116" i="2" s="1"/>
  <c r="AC116" i="2"/>
  <c r="AD116" i="2" s="1"/>
  <c r="Y116" i="2"/>
  <c r="Z116" i="2" s="1"/>
  <c r="AI116" i="2"/>
  <c r="AJ116" i="2" s="1"/>
  <c r="AE116" i="2"/>
  <c r="AF116" i="2" s="1"/>
  <c r="AA116" i="2"/>
  <c r="AB116" i="2" s="1"/>
  <c r="AC11" i="2"/>
  <c r="AD11" i="2" s="1"/>
  <c r="AG59" i="2"/>
  <c r="AH59" i="2" s="1"/>
  <c r="AA59" i="2"/>
  <c r="AB59" i="2" s="1"/>
  <c r="AE59" i="2"/>
  <c r="AF59" i="2" s="1"/>
  <c r="Y62" i="2"/>
  <c r="Z62" i="2" s="1"/>
  <c r="AA8" i="2"/>
  <c r="AB8" i="2" s="1"/>
  <c r="AA12" i="2"/>
  <c r="AB12" i="2" s="1"/>
  <c r="AC19" i="2"/>
  <c r="AD19" i="2" s="1"/>
  <c r="Y27" i="2"/>
  <c r="Z27" i="2" s="1"/>
  <c r="AI27" i="2"/>
  <c r="AJ27" i="2" s="1"/>
  <c r="AA35" i="2"/>
  <c r="AB35" i="2" s="1"/>
  <c r="AC45" i="2"/>
  <c r="AD45" i="2" s="1"/>
  <c r="AG46" i="2"/>
  <c r="AH46" i="2" s="1"/>
  <c r="AA46" i="2"/>
  <c r="AB46" i="2" s="1"/>
  <c r="AI46" i="2"/>
  <c r="AJ46" i="2" s="1"/>
  <c r="AC48" i="2"/>
  <c r="AD48" i="2" s="1"/>
  <c r="Y59" i="2"/>
  <c r="Z59" i="2" s="1"/>
  <c r="AI59" i="2"/>
  <c r="AJ59" i="2" s="1"/>
  <c r="AC62" i="2"/>
  <c r="AD62" i="2" s="1"/>
  <c r="AE83" i="2"/>
  <c r="AF83" i="2" s="1"/>
  <c r="AG96" i="2"/>
  <c r="AH96" i="2" s="1"/>
  <c r="AC96" i="2"/>
  <c r="AD96" i="2" s="1"/>
  <c r="Y96" i="2"/>
  <c r="Z96" i="2" s="1"/>
  <c r="AI96" i="2"/>
  <c r="AJ96" i="2" s="1"/>
  <c r="AE96" i="2"/>
  <c r="AF96" i="2" s="1"/>
  <c r="AA96" i="2"/>
  <c r="AB96" i="2" s="1"/>
  <c r="AG104" i="2"/>
  <c r="AH104" i="2" s="1"/>
  <c r="AC104" i="2"/>
  <c r="AD104" i="2" s="1"/>
  <c r="Y104" i="2"/>
  <c r="Z104" i="2" s="1"/>
  <c r="AI104" i="2"/>
  <c r="AJ104" i="2" s="1"/>
  <c r="AE104" i="2"/>
  <c r="AF104" i="2" s="1"/>
  <c r="AA104" i="2"/>
  <c r="AB104" i="2" s="1"/>
  <c r="AG112" i="2"/>
  <c r="AH112" i="2" s="1"/>
  <c r="AC112" i="2"/>
  <c r="AD112" i="2" s="1"/>
  <c r="Y112" i="2"/>
  <c r="Z112" i="2" s="1"/>
  <c r="AI112" i="2"/>
  <c r="AJ112" i="2" s="1"/>
  <c r="AE112" i="2"/>
  <c r="AF112" i="2" s="1"/>
  <c r="AA112" i="2"/>
  <c r="AB112" i="2" s="1"/>
  <c r="AG120" i="2"/>
  <c r="AH120" i="2" s="1"/>
  <c r="AC120" i="2"/>
  <c r="AD120" i="2" s="1"/>
  <c r="Y120" i="2"/>
  <c r="Z120" i="2" s="1"/>
  <c r="AI120" i="2"/>
  <c r="AJ120" i="2" s="1"/>
  <c r="AE120" i="2"/>
  <c r="AF120" i="2" s="1"/>
  <c r="AA120" i="2"/>
  <c r="AB120" i="2" s="1"/>
  <c r="AG128" i="2"/>
  <c r="AH128" i="2" s="1"/>
  <c r="AC128" i="2"/>
  <c r="AD128" i="2" s="1"/>
  <c r="Y128" i="2"/>
  <c r="Z128" i="2" s="1"/>
  <c r="AI128" i="2"/>
  <c r="AJ128" i="2" s="1"/>
  <c r="AE128" i="2"/>
  <c r="AF128" i="2" s="1"/>
  <c r="AA128" i="2"/>
  <c r="AB128" i="2" s="1"/>
  <c r="AC26" i="2"/>
  <c r="AD26" i="2" s="1"/>
  <c r="AA51" i="2"/>
  <c r="AB51" i="2" s="1"/>
  <c r="AI77" i="2"/>
  <c r="AJ77" i="2" s="1"/>
  <c r="AA84" i="2"/>
  <c r="AB84" i="2" s="1"/>
  <c r="AG92" i="2"/>
  <c r="AH92" i="2" s="1"/>
  <c r="AC92" i="2"/>
  <c r="AD92" i="2" s="1"/>
  <c r="Y92" i="2"/>
  <c r="Z92" i="2" s="1"/>
  <c r="AI92" i="2"/>
  <c r="AJ92" i="2" s="1"/>
  <c r="AE92" i="2"/>
  <c r="AF92" i="2" s="1"/>
  <c r="AA92" i="2"/>
  <c r="AB92" i="2" s="1"/>
  <c r="AG124" i="2"/>
  <c r="AH124" i="2" s="1"/>
  <c r="AC124" i="2"/>
  <c r="AD124" i="2" s="1"/>
  <c r="Y124" i="2"/>
  <c r="Z124" i="2" s="1"/>
  <c r="AI124" i="2"/>
  <c r="AJ124" i="2" s="1"/>
  <c r="AE124" i="2"/>
  <c r="AF124" i="2" s="1"/>
  <c r="AA124" i="2"/>
  <c r="AB124" i="2" s="1"/>
  <c r="AG142" i="2"/>
  <c r="AH142" i="2" s="1"/>
  <c r="Y142" i="2"/>
  <c r="Z142" i="2" s="1"/>
  <c r="AC142" i="2"/>
  <c r="AD142" i="2" s="1"/>
  <c r="AE142" i="2"/>
  <c r="AF142" i="2" s="1"/>
  <c r="AA142" i="2"/>
  <c r="AB142" i="2" s="1"/>
  <c r="AI142" i="2"/>
  <c r="AJ142" i="2" s="1"/>
  <c r="AE8" i="2"/>
  <c r="AF8" i="2" s="1"/>
  <c r="AI11" i="2"/>
  <c r="AJ11" i="2" s="1"/>
  <c r="AE11" i="2"/>
  <c r="AF11" i="2" s="1"/>
  <c r="AA11" i="2"/>
  <c r="AB11" i="2" s="1"/>
  <c r="AE12" i="2"/>
  <c r="AF12" i="2" s="1"/>
  <c r="Y19" i="2"/>
  <c r="Z19" i="2" s="1"/>
  <c r="AI19" i="2"/>
  <c r="AJ19" i="2" s="1"/>
  <c r="AE53" i="2"/>
  <c r="AF53" i="2" s="1"/>
  <c r="AI53" i="2"/>
  <c r="AJ53" i="2" s="1"/>
  <c r="Y53" i="2"/>
  <c r="Z53" i="2" s="1"/>
  <c r="AI9" i="2"/>
  <c r="AE9" i="2"/>
  <c r="AA9" i="2"/>
  <c r="AC9" i="2"/>
  <c r="AI13" i="2"/>
  <c r="AJ13" i="2" s="1"/>
  <c r="AE13" i="2"/>
  <c r="AF13" i="2" s="1"/>
  <c r="AA13" i="2"/>
  <c r="AB13" i="2" s="1"/>
  <c r="AC13" i="2"/>
  <c r="AD13" i="2" s="1"/>
  <c r="AI17" i="2"/>
  <c r="AJ17" i="2" s="1"/>
  <c r="AE17" i="2"/>
  <c r="AF17" i="2" s="1"/>
  <c r="AA17" i="2"/>
  <c r="AB17" i="2" s="1"/>
  <c r="AC17" i="2"/>
  <c r="AD17" i="2" s="1"/>
  <c r="AC27" i="2"/>
  <c r="AD27" i="2" s="1"/>
  <c r="AG45" i="2"/>
  <c r="AH45" i="2" s="1"/>
  <c r="AG48" i="2"/>
  <c r="AH48" i="2" s="1"/>
  <c r="Y50" i="2"/>
  <c r="Z50" i="2" s="1"/>
  <c r="AC53" i="2"/>
  <c r="AD53" i="2" s="1"/>
  <c r="AC59" i="2"/>
  <c r="AD59" i="2" s="1"/>
  <c r="AE62" i="2"/>
  <c r="AF62" i="2" s="1"/>
  <c r="AA72" i="2"/>
  <c r="AB72" i="2" s="1"/>
  <c r="AE72" i="2"/>
  <c r="AF72" i="2" s="1"/>
  <c r="Y72" i="2"/>
  <c r="Z72" i="2" s="1"/>
  <c r="AI72" i="2"/>
  <c r="AJ72" i="2" s="1"/>
  <c r="AA75" i="2"/>
  <c r="AB75" i="2" s="1"/>
  <c r="AG86" i="2"/>
  <c r="AH86" i="2" s="1"/>
  <c r="AI93" i="2"/>
  <c r="AJ93" i="2" s="1"/>
  <c r="AE93" i="2"/>
  <c r="AF93" i="2" s="1"/>
  <c r="AA93" i="2"/>
  <c r="AB93" i="2" s="1"/>
  <c r="AG93" i="2"/>
  <c r="AH93" i="2" s="1"/>
  <c r="AC93" i="2"/>
  <c r="AD93" i="2" s="1"/>
  <c r="Y93" i="2"/>
  <c r="Z93" i="2" s="1"/>
  <c r="AI101" i="2"/>
  <c r="AJ101" i="2" s="1"/>
  <c r="AE101" i="2"/>
  <c r="AF101" i="2" s="1"/>
  <c r="AA101" i="2"/>
  <c r="AB101" i="2" s="1"/>
  <c r="AG101" i="2"/>
  <c r="AH101" i="2" s="1"/>
  <c r="AC101" i="2"/>
  <c r="AD101" i="2" s="1"/>
  <c r="Y101" i="2"/>
  <c r="Z101" i="2" s="1"/>
  <c r="AI109" i="2"/>
  <c r="AJ109" i="2" s="1"/>
  <c r="AE109" i="2"/>
  <c r="AF109" i="2" s="1"/>
  <c r="AA109" i="2"/>
  <c r="AB109" i="2" s="1"/>
  <c r="AG109" i="2"/>
  <c r="AH109" i="2" s="1"/>
  <c r="AC109" i="2"/>
  <c r="AD109" i="2" s="1"/>
  <c r="Y109" i="2"/>
  <c r="Z109" i="2" s="1"/>
  <c r="AI117" i="2"/>
  <c r="AJ117" i="2" s="1"/>
  <c r="AE117" i="2"/>
  <c r="AF117" i="2" s="1"/>
  <c r="AA117" i="2"/>
  <c r="AB117" i="2" s="1"/>
  <c r="AG117" i="2"/>
  <c r="AH117" i="2" s="1"/>
  <c r="AC117" i="2"/>
  <c r="AD117" i="2" s="1"/>
  <c r="Y117" i="2"/>
  <c r="Z117" i="2" s="1"/>
  <c r="AI125" i="2"/>
  <c r="AJ125" i="2" s="1"/>
  <c r="AE125" i="2"/>
  <c r="AF125" i="2" s="1"/>
  <c r="AA125" i="2"/>
  <c r="AB125" i="2" s="1"/>
  <c r="AG125" i="2"/>
  <c r="AH125" i="2" s="1"/>
  <c r="AC125" i="2"/>
  <c r="AD125" i="2" s="1"/>
  <c r="Y125" i="2"/>
  <c r="Z125" i="2" s="1"/>
  <c r="AG146" i="2"/>
  <c r="AH146" i="2" s="1"/>
  <c r="Y146" i="2"/>
  <c r="Z146" i="2" s="1"/>
  <c r="AC146" i="2"/>
  <c r="AD146" i="2" s="1"/>
  <c r="AE146" i="2"/>
  <c r="AF146" i="2" s="1"/>
  <c r="AA146" i="2"/>
  <c r="AB146" i="2" s="1"/>
  <c r="AG150" i="2"/>
  <c r="AH150" i="2" s="1"/>
  <c r="Y150" i="2"/>
  <c r="Z150" i="2" s="1"/>
  <c r="AC150" i="2"/>
  <c r="AD150" i="2" s="1"/>
  <c r="AE150" i="2"/>
  <c r="AF150" i="2" s="1"/>
  <c r="AA150" i="2"/>
  <c r="AB150" i="2" s="1"/>
  <c r="AG20" i="2"/>
  <c r="AH20" i="2" s="1"/>
  <c r="AG44" i="2"/>
  <c r="AH44" i="2" s="1"/>
  <c r="AG49" i="2"/>
  <c r="AH49" i="2" s="1"/>
  <c r="AG76" i="2"/>
  <c r="AH76" i="2" s="1"/>
  <c r="AG90" i="2"/>
  <c r="AH90" i="2" s="1"/>
  <c r="AC90" i="2"/>
  <c r="AD90" i="2" s="1"/>
  <c r="Y90" i="2"/>
  <c r="Z90" i="2" s="1"/>
  <c r="AI90" i="2"/>
  <c r="AJ90" i="2" s="1"/>
  <c r="AE90" i="2"/>
  <c r="AF90" i="2" s="1"/>
  <c r="AA90" i="2"/>
  <c r="AB90" i="2" s="1"/>
  <c r="AG94" i="2"/>
  <c r="AH94" i="2" s="1"/>
  <c r="AC94" i="2"/>
  <c r="AD94" i="2" s="1"/>
  <c r="Y94" i="2"/>
  <c r="Z94" i="2" s="1"/>
  <c r="AI94" i="2"/>
  <c r="AJ94" i="2" s="1"/>
  <c r="AE94" i="2"/>
  <c r="AF94" i="2" s="1"/>
  <c r="AA94" i="2"/>
  <c r="AB94" i="2" s="1"/>
  <c r="AG98" i="2"/>
  <c r="AH98" i="2" s="1"/>
  <c r="AC98" i="2"/>
  <c r="AD98" i="2" s="1"/>
  <c r="Y98" i="2"/>
  <c r="Z98" i="2" s="1"/>
  <c r="AI98" i="2"/>
  <c r="AJ98" i="2" s="1"/>
  <c r="AE98" i="2"/>
  <c r="AF98" i="2" s="1"/>
  <c r="AA98" i="2"/>
  <c r="AB98" i="2" s="1"/>
  <c r="AG102" i="2"/>
  <c r="AH102" i="2" s="1"/>
  <c r="AC102" i="2"/>
  <c r="AD102" i="2" s="1"/>
  <c r="Y102" i="2"/>
  <c r="Z102" i="2" s="1"/>
  <c r="AI102" i="2"/>
  <c r="AJ102" i="2" s="1"/>
  <c r="AE102" i="2"/>
  <c r="AF102" i="2" s="1"/>
  <c r="AA102" i="2"/>
  <c r="AB102" i="2" s="1"/>
  <c r="AG106" i="2"/>
  <c r="AH106" i="2" s="1"/>
  <c r="AC106" i="2"/>
  <c r="AD106" i="2" s="1"/>
  <c r="Y106" i="2"/>
  <c r="Z106" i="2" s="1"/>
  <c r="AI106" i="2"/>
  <c r="AJ106" i="2" s="1"/>
  <c r="AE106" i="2"/>
  <c r="AF106" i="2" s="1"/>
  <c r="AA106" i="2"/>
  <c r="AB106" i="2" s="1"/>
  <c r="AG110" i="2"/>
  <c r="AH110" i="2" s="1"/>
  <c r="AC110" i="2"/>
  <c r="AD110" i="2" s="1"/>
  <c r="Y110" i="2"/>
  <c r="Z110" i="2" s="1"/>
  <c r="AI110" i="2"/>
  <c r="AJ110" i="2" s="1"/>
  <c r="AE110" i="2"/>
  <c r="AF110" i="2" s="1"/>
  <c r="AA110" i="2"/>
  <c r="AB110" i="2" s="1"/>
  <c r="AG114" i="2"/>
  <c r="AH114" i="2" s="1"/>
  <c r="AC114" i="2"/>
  <c r="AD114" i="2" s="1"/>
  <c r="Y114" i="2"/>
  <c r="Z114" i="2" s="1"/>
  <c r="AI114" i="2"/>
  <c r="AJ114" i="2" s="1"/>
  <c r="AE114" i="2"/>
  <c r="AF114" i="2" s="1"/>
  <c r="AA114" i="2"/>
  <c r="AB114" i="2" s="1"/>
  <c r="AG118" i="2"/>
  <c r="AH118" i="2" s="1"/>
  <c r="AC118" i="2"/>
  <c r="AD118" i="2" s="1"/>
  <c r="Y118" i="2"/>
  <c r="Z118" i="2" s="1"/>
  <c r="AI118" i="2"/>
  <c r="AJ118" i="2" s="1"/>
  <c r="AE118" i="2"/>
  <c r="AF118" i="2" s="1"/>
  <c r="AA118" i="2"/>
  <c r="AB118" i="2" s="1"/>
  <c r="AG122" i="2"/>
  <c r="AH122" i="2" s="1"/>
  <c r="AC122" i="2"/>
  <c r="AD122" i="2" s="1"/>
  <c r="Y122" i="2"/>
  <c r="Z122" i="2" s="1"/>
  <c r="AI122" i="2"/>
  <c r="AJ122" i="2" s="1"/>
  <c r="AE122" i="2"/>
  <c r="AF122" i="2" s="1"/>
  <c r="AA122" i="2"/>
  <c r="AB122" i="2" s="1"/>
  <c r="AG126" i="2"/>
  <c r="AH126" i="2" s="1"/>
  <c r="AC126" i="2"/>
  <c r="AD126" i="2" s="1"/>
  <c r="Y126" i="2"/>
  <c r="Z126" i="2" s="1"/>
  <c r="AI126" i="2"/>
  <c r="AJ126" i="2" s="1"/>
  <c r="AE126" i="2"/>
  <c r="AF126" i="2" s="1"/>
  <c r="AA126" i="2"/>
  <c r="AB126" i="2" s="1"/>
  <c r="AI146" i="2"/>
  <c r="AJ146" i="2" s="1"/>
  <c r="AI150" i="2"/>
  <c r="AJ150" i="2" s="1"/>
  <c r="AC20" i="2"/>
  <c r="AD20" i="2" s="1"/>
  <c r="AC44" i="2"/>
  <c r="AD44" i="2" s="1"/>
  <c r="AC52" i="2"/>
  <c r="AD52" i="2" s="1"/>
  <c r="AC76" i="2"/>
  <c r="AD76" i="2" s="1"/>
  <c r="Y79" i="2"/>
  <c r="Z79" i="2" s="1"/>
  <c r="AI80" i="2"/>
  <c r="AJ80" i="2" s="1"/>
  <c r="AA80" i="2"/>
  <c r="AB80" i="2" s="1"/>
  <c r="AI91" i="2"/>
  <c r="AJ91" i="2" s="1"/>
  <c r="AE91" i="2"/>
  <c r="AF91" i="2" s="1"/>
  <c r="AA91" i="2"/>
  <c r="AB91" i="2" s="1"/>
  <c r="AG91" i="2"/>
  <c r="AH91" i="2" s="1"/>
  <c r="AC91" i="2"/>
  <c r="AD91" i="2" s="1"/>
  <c r="Y91" i="2"/>
  <c r="Z91" i="2" s="1"/>
  <c r="AI95" i="2"/>
  <c r="AJ95" i="2" s="1"/>
  <c r="AE95" i="2"/>
  <c r="AF95" i="2" s="1"/>
  <c r="AA95" i="2"/>
  <c r="AB95" i="2" s="1"/>
  <c r="AG95" i="2"/>
  <c r="AH95" i="2" s="1"/>
  <c r="AC95" i="2"/>
  <c r="AD95" i="2" s="1"/>
  <c r="Y95" i="2"/>
  <c r="Z95" i="2" s="1"/>
  <c r="AI99" i="2"/>
  <c r="AJ99" i="2" s="1"/>
  <c r="AE99" i="2"/>
  <c r="AF99" i="2" s="1"/>
  <c r="AA99" i="2"/>
  <c r="AB99" i="2" s="1"/>
  <c r="AG99" i="2"/>
  <c r="AH99" i="2" s="1"/>
  <c r="AC99" i="2"/>
  <c r="AD99" i="2" s="1"/>
  <c r="Y99" i="2"/>
  <c r="Z99" i="2" s="1"/>
  <c r="AI103" i="2"/>
  <c r="AJ103" i="2" s="1"/>
  <c r="AE103" i="2"/>
  <c r="AF103" i="2" s="1"/>
  <c r="AA103" i="2"/>
  <c r="AB103" i="2" s="1"/>
  <c r="AG103" i="2"/>
  <c r="AH103" i="2" s="1"/>
  <c r="AC103" i="2"/>
  <c r="AD103" i="2" s="1"/>
  <c r="Y103" i="2"/>
  <c r="Z103" i="2" s="1"/>
  <c r="AI107" i="2"/>
  <c r="AJ107" i="2" s="1"/>
  <c r="AE107" i="2"/>
  <c r="AF107" i="2" s="1"/>
  <c r="AA107" i="2"/>
  <c r="AB107" i="2" s="1"/>
  <c r="AG107" i="2"/>
  <c r="AH107" i="2" s="1"/>
  <c r="AC107" i="2"/>
  <c r="AD107" i="2" s="1"/>
  <c r="Y107" i="2"/>
  <c r="Z107" i="2" s="1"/>
  <c r="AI111" i="2"/>
  <c r="AJ111" i="2" s="1"/>
  <c r="AE111" i="2"/>
  <c r="AF111" i="2" s="1"/>
  <c r="AA111" i="2"/>
  <c r="AB111" i="2" s="1"/>
  <c r="AG111" i="2"/>
  <c r="AH111" i="2" s="1"/>
  <c r="AC111" i="2"/>
  <c r="AD111" i="2" s="1"/>
  <c r="Y111" i="2"/>
  <c r="Z111" i="2" s="1"/>
  <c r="AI115" i="2"/>
  <c r="AJ115" i="2" s="1"/>
  <c r="AE115" i="2"/>
  <c r="AF115" i="2" s="1"/>
  <c r="AA115" i="2"/>
  <c r="AB115" i="2" s="1"/>
  <c r="AG115" i="2"/>
  <c r="AH115" i="2" s="1"/>
  <c r="AC115" i="2"/>
  <c r="AD115" i="2" s="1"/>
  <c r="Y115" i="2"/>
  <c r="Z115" i="2" s="1"/>
  <c r="AI119" i="2"/>
  <c r="AJ119" i="2" s="1"/>
  <c r="AE119" i="2"/>
  <c r="AF119" i="2" s="1"/>
  <c r="AA119" i="2"/>
  <c r="AB119" i="2" s="1"/>
  <c r="AG119" i="2"/>
  <c r="AH119" i="2" s="1"/>
  <c r="AC119" i="2"/>
  <c r="AD119" i="2" s="1"/>
  <c r="Y119" i="2"/>
  <c r="Z119" i="2" s="1"/>
  <c r="AI123" i="2"/>
  <c r="AJ123" i="2" s="1"/>
  <c r="AE123" i="2"/>
  <c r="AF123" i="2" s="1"/>
  <c r="AA123" i="2"/>
  <c r="AB123" i="2" s="1"/>
  <c r="AG123" i="2"/>
  <c r="AH123" i="2" s="1"/>
  <c r="AC123" i="2"/>
  <c r="AD123" i="2" s="1"/>
  <c r="Y123" i="2"/>
  <c r="Z123" i="2" s="1"/>
  <c r="AI127" i="2"/>
  <c r="AJ127" i="2" s="1"/>
  <c r="AE127" i="2"/>
  <c r="AF127" i="2" s="1"/>
  <c r="AA127" i="2"/>
  <c r="AB127" i="2" s="1"/>
  <c r="AG127" i="2"/>
  <c r="AH127" i="2" s="1"/>
  <c r="AC127" i="2"/>
  <c r="AD127" i="2" s="1"/>
  <c r="Y127" i="2"/>
  <c r="Z127" i="2" s="1"/>
  <c r="AE140" i="2"/>
  <c r="AF140" i="2" s="1"/>
  <c r="AA140" i="2"/>
  <c r="AB140" i="2" s="1"/>
  <c r="AC144" i="2"/>
  <c r="AD144" i="2" s="1"/>
  <c r="AA144" i="2"/>
  <c r="AB144" i="2" s="1"/>
  <c r="AC148" i="2"/>
  <c r="AD148" i="2" s="1"/>
  <c r="AG148" i="2"/>
  <c r="AH148" i="2" s="1"/>
  <c r="AE152" i="2"/>
  <c r="AF152" i="2" s="1"/>
  <c r="AC152" i="2"/>
  <c r="AD152" i="2" s="1"/>
  <c r="AG152" i="2"/>
  <c r="AH152" i="2" s="1"/>
  <c r="Y152" i="2"/>
  <c r="Z152" i="2" s="1"/>
  <c r="AI152" i="2"/>
  <c r="AJ152" i="2" s="1"/>
  <c r="AA152" i="2"/>
  <c r="AB152" i="2" s="1"/>
  <c r="AG130" i="2"/>
  <c r="AH130" i="2" s="1"/>
  <c r="Y130" i="2"/>
  <c r="Z130" i="2" s="1"/>
  <c r="AA161" i="2"/>
  <c r="AB161" i="2" s="1"/>
  <c r="AI161" i="2"/>
  <c r="AJ161" i="2" s="1"/>
  <c r="AA165" i="2"/>
  <c r="AB165" i="2" s="1"/>
  <c r="AE174" i="2"/>
  <c r="AF174" i="2" s="1"/>
  <c r="Y174" i="2"/>
  <c r="Z174" i="2" s="1"/>
  <c r="AI174" i="2"/>
  <c r="AJ174" i="2" s="1"/>
  <c r="AC174" i="2"/>
  <c r="AD174" i="2" s="1"/>
  <c r="AG174" i="2"/>
  <c r="AH174" i="2" s="1"/>
  <c r="AA174" i="2"/>
  <c r="AB174" i="2" s="1"/>
  <c r="AE158" i="2"/>
  <c r="AF158" i="2" s="1"/>
  <c r="AA160" i="2"/>
  <c r="AB160" i="2" s="1"/>
  <c r="AI160" i="2"/>
  <c r="AJ160" i="2" s="1"/>
  <c r="AG172" i="2"/>
  <c r="AH172" i="2" s="1"/>
  <c r="AG177" i="2"/>
  <c r="AH177" i="2" s="1"/>
  <c r="AC169" i="2"/>
  <c r="AD169" i="2" s="1"/>
  <c r="AC172" i="2"/>
  <c r="AD172" i="2" s="1"/>
  <c r="AI172" i="2"/>
  <c r="AJ172" i="2" s="1"/>
  <c r="Y172" i="2"/>
  <c r="Z172" i="2" s="1"/>
  <c r="AI181" i="2"/>
  <c r="AJ181" i="2" s="1"/>
  <c r="AE181" i="2"/>
  <c r="AF181" i="2" s="1"/>
  <c r="AA181" i="2"/>
  <c r="AB181" i="2" s="1"/>
  <c r="AG181" i="2"/>
  <c r="AH181" i="2" s="1"/>
  <c r="AC181" i="2"/>
  <c r="AD181" i="2" s="1"/>
  <c r="Y181" i="2"/>
  <c r="Z181" i="2" s="1"/>
  <c r="AC186" i="2"/>
  <c r="AD186" i="2" s="1"/>
  <c r="AI180" i="2"/>
  <c r="AJ180" i="2" s="1"/>
  <c r="AG182" i="2"/>
  <c r="AH182" i="2" s="1"/>
  <c r="AC182" i="2"/>
  <c r="AD182" i="2" s="1"/>
  <c r="Y182" i="2"/>
  <c r="Z182" i="2" s="1"/>
  <c r="AI182" i="2"/>
  <c r="AJ182" i="2" s="1"/>
  <c r="AE182" i="2"/>
  <c r="AF182" i="2" s="1"/>
  <c r="AA182" i="2"/>
  <c r="AB182" i="2" s="1"/>
  <c r="AA183" i="2"/>
  <c r="AB183" i="2" s="1"/>
  <c r="AI185" i="2"/>
  <c r="AJ185" i="2" s="1"/>
  <c r="Y185" i="2"/>
  <c r="Z185" i="2" s="1"/>
  <c r="AG185" i="2"/>
  <c r="AH185" i="2" s="1"/>
  <c r="AI190" i="2"/>
  <c r="AJ190" i="2" s="1"/>
  <c r="AC190" i="2"/>
  <c r="AD190" i="2" s="1"/>
  <c r="AG190" i="2"/>
  <c r="AH190" i="2" s="1"/>
  <c r="AA190" i="2"/>
  <c r="AB190" i="2" s="1"/>
  <c r="AE190" i="2"/>
  <c r="AF190" i="2" s="1"/>
  <c r="Y190" i="2"/>
  <c r="Z190" i="2" s="1"/>
  <c r="AI194" i="2"/>
  <c r="AJ194" i="2" s="1"/>
  <c r="AA194" i="2"/>
  <c r="AB194" i="2" s="1"/>
  <c r="AE194" i="2"/>
  <c r="AF194" i="2" s="1"/>
  <c r="Y194" i="2"/>
  <c r="Z194" i="2" s="1"/>
  <c r="AC194" i="2"/>
  <c r="AD194" i="2" s="1"/>
  <c r="AG194" i="2"/>
  <c r="AH194" i="2" s="1"/>
  <c r="AC192" i="2"/>
  <c r="AD192" i="2" s="1"/>
  <c r="AI192" i="2"/>
  <c r="AJ192" i="2" s="1"/>
  <c r="AC191" i="2"/>
  <c r="AD191" i="2" s="1"/>
  <c r="Y192" i="2"/>
  <c r="Z192" i="2" s="1"/>
  <c r="AE192" i="2"/>
  <c r="AF192" i="2" s="1"/>
  <c r="AG197" i="2"/>
  <c r="AH197" i="2" s="1"/>
  <c r="AC197" i="2"/>
  <c r="AD197" i="2" s="1"/>
  <c r="Y197" i="2"/>
  <c r="Z197" i="2" s="1"/>
  <c r="AI197" i="2"/>
  <c r="AJ197" i="2" s="1"/>
  <c r="AE197" i="2"/>
  <c r="AF197" i="2" s="1"/>
  <c r="AA197" i="2"/>
  <c r="AB197" i="2" s="1"/>
  <c r="AI198" i="2"/>
  <c r="AJ198" i="2" s="1"/>
  <c r="AE198" i="2"/>
  <c r="AF198" i="2" s="1"/>
  <c r="AA198" i="2"/>
  <c r="AB198" i="2" s="1"/>
  <c r="AG198" i="2"/>
  <c r="AH198" i="2" s="1"/>
  <c r="AC198" i="2"/>
  <c r="AD198" i="2" s="1"/>
  <c r="Y198" i="2"/>
  <c r="Z198" i="2" s="1"/>
  <c r="AC201" i="2"/>
  <c r="AD201" i="2" s="1"/>
  <c r="AI201" i="2"/>
  <c r="AJ201" i="2" s="1"/>
  <c r="AA201" i="2"/>
  <c r="AB201" i="2" s="1"/>
  <c r="AG201" i="2"/>
  <c r="AH201" i="2" s="1"/>
  <c r="Y201" i="2"/>
  <c r="Z201" i="2" s="1"/>
  <c r="AE201" i="2"/>
  <c r="AF201" i="2" s="1"/>
  <c r="AE213" i="2"/>
  <c r="AF213" i="2" s="1"/>
  <c r="AE217" i="2"/>
  <c r="AF217" i="2" s="1"/>
  <c r="AE221" i="2"/>
  <c r="AF221" i="2" s="1"/>
  <c r="AE200" i="2"/>
  <c r="AF200" i="2" s="1"/>
  <c r="AE204" i="2"/>
  <c r="AF204" i="2" s="1"/>
  <c r="AA210" i="2"/>
  <c r="AB210" i="2" s="1"/>
  <c r="AI210" i="2"/>
  <c r="AJ210" i="2" s="1"/>
  <c r="AE212" i="2"/>
  <c r="AF212" i="2" s="1"/>
  <c r="Y213" i="2"/>
  <c r="Z213" i="2" s="1"/>
  <c r="AG213" i="2"/>
  <c r="AH213" i="2" s="1"/>
  <c r="AE216" i="2"/>
  <c r="AF216" i="2" s="1"/>
  <c r="Y217" i="2"/>
  <c r="Z217" i="2" s="1"/>
  <c r="AG217" i="2"/>
  <c r="AH217" i="2" s="1"/>
  <c r="AE220" i="2"/>
  <c r="AF220" i="2" s="1"/>
  <c r="Y221" i="2"/>
  <c r="Z221" i="2" s="1"/>
  <c r="AG221" i="2"/>
  <c r="AH221" i="2" s="1"/>
  <c r="Y204" i="2"/>
  <c r="Z204" i="2" s="1"/>
  <c r="AG204" i="2"/>
  <c r="AH204" i="2" s="1"/>
  <c r="Y212" i="2"/>
  <c r="Z212" i="2" s="1"/>
  <c r="AG212" i="2"/>
  <c r="AH212" i="2" s="1"/>
  <c r="AA213" i="2"/>
  <c r="AB213" i="2" s="1"/>
  <c r="AI213" i="2"/>
  <c r="AJ213" i="2" s="1"/>
  <c r="Y216" i="2"/>
  <c r="Z216" i="2" s="1"/>
  <c r="AG216" i="2"/>
  <c r="AH216" i="2" s="1"/>
  <c r="AA217" i="2"/>
  <c r="AB217" i="2" s="1"/>
  <c r="AI217" i="2"/>
  <c r="AJ217" i="2" s="1"/>
  <c r="Y220" i="2"/>
  <c r="Z220" i="2" s="1"/>
  <c r="AG220" i="2"/>
  <c r="AH220" i="2" s="1"/>
  <c r="AA221" i="2"/>
  <c r="AB221" i="2" s="1"/>
  <c r="AI221" i="2"/>
  <c r="AJ221" i="2" s="1"/>
  <c r="AA200" i="2"/>
  <c r="AB200" i="2" s="1"/>
  <c r="Y203" i="2"/>
  <c r="Z203" i="2" s="1"/>
  <c r="AA204" i="2"/>
  <c r="AB204" i="2" s="1"/>
  <c r="AA212" i="2"/>
  <c r="AB212" i="2" s="1"/>
  <c r="AA216" i="2"/>
  <c r="AB216" i="2" s="1"/>
  <c r="AA220" i="2"/>
  <c r="AB220" i="2" s="1"/>
  <c r="AI223" i="2"/>
  <c r="AJ223" i="2" s="1"/>
  <c r="AE223" i="2"/>
  <c r="AF223" i="2" s="1"/>
  <c r="AA223" i="2"/>
  <c r="AB223" i="2" s="1"/>
  <c r="AG223" i="2"/>
  <c r="AH223" i="2" s="1"/>
  <c r="AC223" i="2"/>
  <c r="AD223" i="2" s="1"/>
  <c r="Y223" i="2"/>
  <c r="Z223" i="2" s="1"/>
  <c r="F41" i="26"/>
  <c r="F25" i="26"/>
  <c r="F20" i="26"/>
  <c r="F18" i="26"/>
  <c r="F17" i="26"/>
  <c r="F16" i="26"/>
  <c r="F12" i="26"/>
  <c r="E14" i="26"/>
  <c r="F14" i="26" s="1"/>
  <c r="E16" i="26"/>
  <c r="E18" i="26"/>
  <c r="E20" i="26"/>
  <c r="E22" i="26"/>
  <c r="E24" i="26"/>
  <c r="E41" i="26"/>
  <c r="E40" i="26"/>
  <c r="F40" i="26" s="1"/>
  <c r="E39" i="26"/>
  <c r="E38" i="26"/>
  <c r="F38" i="26" s="1"/>
  <c r="E37" i="26"/>
  <c r="F37" i="26" s="1"/>
  <c r="E36" i="26"/>
  <c r="F36" i="26" s="1"/>
  <c r="E35" i="26"/>
  <c r="F35" i="26" s="1"/>
  <c r="E34" i="26"/>
  <c r="F34" i="26" s="1"/>
  <c r="E33" i="26"/>
  <c r="E32" i="26"/>
  <c r="F32" i="26" s="1"/>
  <c r="E31" i="26"/>
  <c r="F31" i="26" s="1"/>
  <c r="E29" i="26"/>
  <c r="F29" i="26" s="1"/>
  <c r="E28" i="26"/>
  <c r="F28" i="26" s="1"/>
  <c r="E27" i="26"/>
  <c r="F27" i="26" s="1"/>
  <c r="E26" i="26"/>
  <c r="F26" i="26" s="1"/>
  <c r="E25" i="26"/>
  <c r="E17" i="26"/>
  <c r="E12" i="26"/>
  <c r="E11" i="26"/>
  <c r="E10" i="26"/>
  <c r="F10" i="26" s="1"/>
  <c r="E9" i="26"/>
  <c r="E21" i="26"/>
  <c r="D13" i="26"/>
  <c r="C13" i="26"/>
  <c r="E13" i="26" s="1"/>
  <c r="AC210" i="2" l="1"/>
  <c r="AD210" i="2" s="1"/>
  <c r="AE171" i="2"/>
  <c r="AF171" i="2" s="1"/>
  <c r="Y160" i="2"/>
  <c r="Z160" i="2" s="1"/>
  <c r="AG160" i="2"/>
  <c r="AH160" i="2" s="1"/>
  <c r="AA54" i="2"/>
  <c r="AB54" i="2" s="1"/>
  <c r="AC164" i="2"/>
  <c r="AD164" i="2" s="1"/>
  <c r="AC158" i="2"/>
  <c r="AD158" i="2" s="1"/>
  <c r="AC160" i="2"/>
  <c r="AD160" i="2" s="1"/>
  <c r="AI133" i="2"/>
  <c r="AJ133" i="2" s="1"/>
  <c r="AG164" i="2"/>
  <c r="AH164" i="2" s="1"/>
  <c r="AC70" i="2"/>
  <c r="AD70" i="2" s="1"/>
  <c r="Y210" i="2"/>
  <c r="Z210" i="2" s="1"/>
  <c r="Y162" i="2"/>
  <c r="Z162" i="2" s="1"/>
  <c r="Y215" i="2"/>
  <c r="Z215" i="2" s="1"/>
  <c r="AA180" i="2"/>
  <c r="AB180" i="2" s="1"/>
  <c r="Y158" i="2"/>
  <c r="Z158" i="2" s="1"/>
  <c r="Y200" i="2"/>
  <c r="Z200" i="2" s="1"/>
  <c r="Y65" i="2"/>
  <c r="Z65" i="2" s="1"/>
  <c r="Y164" i="2"/>
  <c r="Z164" i="2" s="1"/>
  <c r="AE180" i="2"/>
  <c r="AF180" i="2" s="1"/>
  <c r="AA151" i="2"/>
  <c r="AB151" i="2" s="1"/>
  <c r="Y178" i="2"/>
  <c r="Z178" i="2" s="1"/>
  <c r="AC129" i="2"/>
  <c r="AD129" i="2" s="1"/>
  <c r="AI186" i="2"/>
  <c r="AJ186" i="2" s="1"/>
  <c r="Z9" i="2"/>
  <c r="Y209" i="2"/>
  <c r="Z209" i="2" s="1"/>
  <c r="Y140" i="2"/>
  <c r="Z140" i="2" s="1"/>
  <c r="AC178" i="2"/>
  <c r="AD178" i="2" s="1"/>
  <c r="AG29" i="2"/>
  <c r="AH29" i="2" s="1"/>
  <c r="AH9" i="2"/>
  <c r="AG140" i="2"/>
  <c r="AH140" i="2" s="1"/>
  <c r="Y42" i="2"/>
  <c r="Z42" i="2" s="1"/>
  <c r="AA209" i="2"/>
  <c r="AB209" i="2" s="1"/>
  <c r="AC140" i="2"/>
  <c r="AD140" i="2" s="1"/>
  <c r="Y219" i="2"/>
  <c r="Z219" i="2" s="1"/>
  <c r="AI205" i="2"/>
  <c r="AJ205" i="2" s="1"/>
  <c r="AI164" i="2"/>
  <c r="AJ164" i="2" s="1"/>
  <c r="AI149" i="2"/>
  <c r="AJ149" i="2" s="1"/>
  <c r="AD9" i="2"/>
  <c r="AE29" i="2"/>
  <c r="AF29" i="2" s="1"/>
  <c r="AA205" i="2"/>
  <c r="AB205" i="2" s="1"/>
  <c r="AE185" i="2"/>
  <c r="AF185" i="2" s="1"/>
  <c r="AA164" i="2"/>
  <c r="AB164" i="2" s="1"/>
  <c r="AI145" i="2"/>
  <c r="AJ145" i="2" s="1"/>
  <c r="AE80" i="2"/>
  <c r="AF80" i="2" s="1"/>
  <c r="AB9" i="2"/>
  <c r="AF9" i="2"/>
  <c r="Y180" i="2"/>
  <c r="Z180" i="2" s="1"/>
  <c r="Y70" i="2"/>
  <c r="Z70" i="2" s="1"/>
  <c r="AA178" i="2"/>
  <c r="AB178" i="2" s="1"/>
  <c r="AC80" i="2"/>
  <c r="AD80" i="2" s="1"/>
  <c r="AA81" i="2"/>
  <c r="AB81" i="2" s="1"/>
  <c r="AE209" i="2"/>
  <c r="AF209" i="2" s="1"/>
  <c r="AG135" i="2"/>
  <c r="AH135" i="2" s="1"/>
  <c r="AE184" i="2"/>
  <c r="AF184" i="2" s="1"/>
  <c r="AI70" i="2"/>
  <c r="AJ70" i="2" s="1"/>
  <c r="AG180" i="2"/>
  <c r="AH180" i="2" s="1"/>
  <c r="AC74" i="2"/>
  <c r="AD74" i="2" s="1"/>
  <c r="AA70" i="2"/>
  <c r="AB70" i="2" s="1"/>
  <c r="Y167" i="2"/>
  <c r="Z167" i="2" s="1"/>
  <c r="AG70" i="2"/>
  <c r="AH70" i="2" s="1"/>
  <c r="Y80" i="2"/>
  <c r="Z80" i="2" s="1"/>
  <c r="Y135" i="2"/>
  <c r="Z135" i="2" s="1"/>
  <c r="AI214" i="2"/>
  <c r="AJ214" i="2" s="1"/>
  <c r="AC199" i="2"/>
  <c r="AD199" i="2" s="1"/>
  <c r="AE178" i="2"/>
  <c r="AF178" i="2" s="1"/>
  <c r="Y81" i="2"/>
  <c r="Z81" i="2" s="1"/>
  <c r="AA29" i="2"/>
  <c r="AB29" i="2" s="1"/>
  <c r="AI61" i="2"/>
  <c r="AJ61" i="2" s="1"/>
  <c r="AE54" i="2"/>
  <c r="AF54" i="2" s="1"/>
  <c r="AJ9" i="2"/>
  <c r="AA214" i="2"/>
  <c r="AB214" i="2" s="1"/>
  <c r="AI178" i="2"/>
  <c r="AJ178" i="2" s="1"/>
  <c r="AI167" i="2"/>
  <c r="AJ167" i="2" s="1"/>
  <c r="AG81" i="2"/>
  <c r="AH81" i="2" s="1"/>
  <c r="AA77" i="2"/>
  <c r="AB77" i="2" s="1"/>
  <c r="AA158" i="2"/>
  <c r="AB158" i="2" s="1"/>
  <c r="AG210" i="2"/>
  <c r="AH210" i="2" s="1"/>
  <c r="E30" i="26"/>
  <c r="AI189" i="2"/>
  <c r="AJ189" i="2" s="1"/>
  <c r="AA191" i="2"/>
  <c r="AB191" i="2" s="1"/>
  <c r="AA137" i="2"/>
  <c r="AB137" i="2" s="1"/>
  <c r="Y85" i="2"/>
  <c r="Z85" i="2" s="1"/>
  <c r="AI16" i="2"/>
  <c r="AJ16" i="2" s="1"/>
  <c r="AC78" i="2"/>
  <c r="AD78" i="2" s="1"/>
  <c r="Y208" i="2"/>
  <c r="Z208" i="2" s="1"/>
  <c r="AC175" i="2"/>
  <c r="AD175" i="2" s="1"/>
  <c r="AI153" i="2"/>
  <c r="AJ153" i="2" s="1"/>
  <c r="AG188" i="2"/>
  <c r="AH188" i="2" s="1"/>
  <c r="AC166" i="2"/>
  <c r="AD166" i="2" s="1"/>
  <c r="AG87" i="2"/>
  <c r="AH87" i="2" s="1"/>
  <c r="AI209" i="2"/>
  <c r="AJ209" i="2" s="1"/>
  <c r="AG209" i="2"/>
  <c r="AH209" i="2" s="1"/>
  <c r="AA185" i="2"/>
  <c r="AB185" i="2" s="1"/>
  <c r="AA169" i="2"/>
  <c r="AB169" i="2" s="1"/>
  <c r="AE162" i="2"/>
  <c r="AF162" i="2" s="1"/>
  <c r="AI165" i="2"/>
  <c r="AJ165" i="2" s="1"/>
  <c r="AC162" i="2"/>
  <c r="AD162" i="2" s="1"/>
  <c r="AA149" i="2"/>
  <c r="AB149" i="2" s="1"/>
  <c r="AA133" i="2"/>
  <c r="AB133" i="2" s="1"/>
  <c r="AE144" i="2"/>
  <c r="AF144" i="2" s="1"/>
  <c r="AE67" i="2"/>
  <c r="AF67" i="2" s="1"/>
  <c r="Y133" i="2"/>
  <c r="Z133" i="2" s="1"/>
  <c r="AE219" i="2"/>
  <c r="AF219" i="2" s="1"/>
  <c r="AC203" i="2"/>
  <c r="AD203" i="2" s="1"/>
  <c r="AG186" i="2"/>
  <c r="AH186" i="2" s="1"/>
  <c r="AA187" i="2"/>
  <c r="AB187" i="2" s="1"/>
  <c r="AC214" i="2"/>
  <c r="AD214" i="2" s="1"/>
  <c r="AG79" i="2"/>
  <c r="AH79" i="2" s="1"/>
  <c r="Y40" i="2"/>
  <c r="Z40" i="2" s="1"/>
  <c r="AC139" i="2"/>
  <c r="AD139" i="2" s="1"/>
  <c r="Y34" i="2"/>
  <c r="Z34" i="2" s="1"/>
  <c r="AE21" i="2"/>
  <c r="AF21" i="2" s="1"/>
  <c r="AA207" i="2"/>
  <c r="AB207" i="2" s="1"/>
  <c r="Y37" i="2"/>
  <c r="Z37" i="2" s="1"/>
  <c r="AA21" i="2"/>
  <c r="AB21" i="2" s="1"/>
  <c r="AE58" i="2"/>
  <c r="AF58" i="2" s="1"/>
  <c r="Y7" i="2"/>
  <c r="Z7" i="2" s="1"/>
  <c r="X7" i="2"/>
  <c r="AG5" i="2"/>
  <c r="AH5" i="2" s="1"/>
  <c r="X5" i="2"/>
  <c r="Y188" i="2"/>
  <c r="Z188" i="2" s="1"/>
  <c r="AE88" i="2"/>
  <c r="AF88" i="2" s="1"/>
  <c r="AI37" i="2"/>
  <c r="AJ37" i="2" s="1"/>
  <c r="AG16" i="2"/>
  <c r="AH16" i="2" s="1"/>
  <c r="AE169" i="2"/>
  <c r="AF169" i="2" s="1"/>
  <c r="AC159" i="2"/>
  <c r="AD159" i="2" s="1"/>
  <c r="AC189" i="2"/>
  <c r="AD189" i="2" s="1"/>
  <c r="AC188" i="2"/>
  <c r="AD188" i="2" s="1"/>
  <c r="AE168" i="2"/>
  <c r="AF168" i="2" s="1"/>
  <c r="AA67" i="2"/>
  <c r="AB67" i="2" s="1"/>
  <c r="Y207" i="2"/>
  <c r="Z207" i="2" s="1"/>
  <c r="AE207" i="2"/>
  <c r="AF207" i="2" s="1"/>
  <c r="AC207" i="2"/>
  <c r="AD207" i="2" s="1"/>
  <c r="AG169" i="2"/>
  <c r="AH169" i="2" s="1"/>
  <c r="AA168" i="2"/>
  <c r="AB168" i="2" s="1"/>
  <c r="AA148" i="2"/>
  <c r="AB148" i="2" s="1"/>
  <c r="AI88" i="2"/>
  <c r="AJ88" i="2" s="1"/>
  <c r="AG65" i="2"/>
  <c r="AH65" i="2" s="1"/>
  <c r="Y69" i="2"/>
  <c r="Z69" i="2" s="1"/>
  <c r="AE43" i="2"/>
  <c r="AF43" i="2" s="1"/>
  <c r="AG30" i="2"/>
  <c r="AH30" i="2" s="1"/>
  <c r="Y74" i="2"/>
  <c r="Z74" i="2" s="1"/>
  <c r="AG149" i="2"/>
  <c r="AH149" i="2" s="1"/>
  <c r="AI207" i="2"/>
  <c r="AJ207" i="2" s="1"/>
  <c r="AI162" i="2"/>
  <c r="AJ162" i="2" s="1"/>
  <c r="AC23" i="2"/>
  <c r="AD23" i="2" s="1"/>
  <c r="AI79" i="2"/>
  <c r="AJ79" i="2" s="1"/>
  <c r="Y165" i="2"/>
  <c r="Z165" i="2" s="1"/>
  <c r="AI139" i="2"/>
  <c r="AJ139" i="2" s="1"/>
  <c r="AE15" i="2"/>
  <c r="AF15" i="2" s="1"/>
  <c r="Y187" i="2"/>
  <c r="Z187" i="2" s="1"/>
  <c r="AE33" i="2"/>
  <c r="AF33" i="2" s="1"/>
  <c r="AI171" i="2"/>
  <c r="AJ171" i="2" s="1"/>
  <c r="AG33" i="2"/>
  <c r="AH33" i="2" s="1"/>
  <c r="AC5" i="2"/>
  <c r="AD5" i="2" s="1"/>
  <c r="AG187" i="2"/>
  <c r="AH187" i="2" s="1"/>
  <c r="AE79" i="2"/>
  <c r="AF79" i="2" s="1"/>
  <c r="AC81" i="2"/>
  <c r="AD81" i="2" s="1"/>
  <c r="AA65" i="2"/>
  <c r="AB65" i="2" s="1"/>
  <c r="AI54" i="2"/>
  <c r="AJ54" i="2" s="1"/>
  <c r="AI40" i="2"/>
  <c r="AJ40" i="2" s="1"/>
  <c r="AE5" i="2"/>
  <c r="AF5" i="2" s="1"/>
  <c r="AI74" i="2"/>
  <c r="AJ74" i="2" s="1"/>
  <c r="AG214" i="2"/>
  <c r="AH214" i="2" s="1"/>
  <c r="AG133" i="2"/>
  <c r="AH133" i="2" s="1"/>
  <c r="AC133" i="2"/>
  <c r="AD133" i="2" s="1"/>
  <c r="AC65" i="2"/>
  <c r="AD65" i="2" s="1"/>
  <c r="AE130" i="2"/>
  <c r="AF130" i="2" s="1"/>
  <c r="Y139" i="2"/>
  <c r="Z139" i="2" s="1"/>
  <c r="AE203" i="2"/>
  <c r="AF203" i="2" s="1"/>
  <c r="AC219" i="2"/>
  <c r="AD219" i="2" s="1"/>
  <c r="AA186" i="2"/>
  <c r="AB186" i="2" s="1"/>
  <c r="AA155" i="2"/>
  <c r="AB155" i="2" s="1"/>
  <c r="AE155" i="2"/>
  <c r="AF155" i="2" s="1"/>
  <c r="AC130" i="2"/>
  <c r="AD130" i="2" s="1"/>
  <c r="AC79" i="2"/>
  <c r="AD79" i="2" s="1"/>
  <c r="AE81" i="2"/>
  <c r="AF81" i="2" s="1"/>
  <c r="AG54" i="2"/>
  <c r="AH54" i="2" s="1"/>
  <c r="AA40" i="2"/>
  <c r="AB40" i="2" s="1"/>
  <c r="AG74" i="2"/>
  <c r="AH74" i="2" s="1"/>
  <c r="AE74" i="2"/>
  <c r="AF74" i="2" s="1"/>
  <c r="Y149" i="2"/>
  <c r="Z149" i="2" s="1"/>
  <c r="AG165" i="2"/>
  <c r="AH165" i="2" s="1"/>
  <c r="AC165" i="2"/>
  <c r="AD165" i="2" s="1"/>
  <c r="AC149" i="2"/>
  <c r="AD149" i="2" s="1"/>
  <c r="AI65" i="2"/>
  <c r="AJ65" i="2" s="1"/>
  <c r="AA219" i="2"/>
  <c r="AB219" i="2" s="1"/>
  <c r="AA139" i="2"/>
  <c r="AB139" i="2" s="1"/>
  <c r="AG55" i="2"/>
  <c r="AH55" i="2" s="1"/>
  <c r="Y186" i="2"/>
  <c r="Z186" i="2" s="1"/>
  <c r="Y175" i="2"/>
  <c r="Z175" i="2" s="1"/>
  <c r="AA30" i="2"/>
  <c r="AB30" i="2" s="1"/>
  <c r="Y15" i="2"/>
  <c r="Z15" i="2" s="1"/>
  <c r="AI30" i="2"/>
  <c r="AJ30" i="2" s="1"/>
  <c r="Y30" i="2"/>
  <c r="Z30" i="2" s="1"/>
  <c r="AC15" i="2"/>
  <c r="AD15" i="2" s="1"/>
  <c r="AE39" i="2"/>
  <c r="AF39" i="2" s="1"/>
  <c r="AC202" i="2"/>
  <c r="AD202" i="2" s="1"/>
  <c r="AG137" i="2"/>
  <c r="AH137" i="2" s="1"/>
  <c r="AA69" i="2"/>
  <c r="AB69" i="2" s="1"/>
  <c r="AG175" i="2"/>
  <c r="AH175" i="2" s="1"/>
  <c r="AC67" i="2"/>
  <c r="AD67" i="2" s="1"/>
  <c r="Y176" i="2"/>
  <c r="Z176" i="2" s="1"/>
  <c r="AC87" i="2"/>
  <c r="AD87" i="2" s="1"/>
  <c r="AC85" i="2"/>
  <c r="AD85" i="2" s="1"/>
  <c r="AE34" i="2"/>
  <c r="AF34" i="2" s="1"/>
  <c r="AC7" i="2"/>
  <c r="AD7" i="2" s="1"/>
  <c r="AC16" i="2"/>
  <c r="AD16" i="2" s="1"/>
  <c r="AC155" i="2"/>
  <c r="AD155" i="2" s="1"/>
  <c r="AC218" i="2"/>
  <c r="AD218" i="2" s="1"/>
  <c r="AI175" i="2"/>
  <c r="AJ175" i="2" s="1"/>
  <c r="Y88" i="2"/>
  <c r="Z88" i="2" s="1"/>
  <c r="AG69" i="2"/>
  <c r="AH69" i="2" s="1"/>
  <c r="AI23" i="2"/>
  <c r="AJ23" i="2" s="1"/>
  <c r="AI33" i="2"/>
  <c r="AJ33" i="2" s="1"/>
  <c r="Y214" i="2"/>
  <c r="Z214" i="2" s="1"/>
  <c r="Y153" i="2"/>
  <c r="Z153" i="2" s="1"/>
  <c r="AA33" i="2"/>
  <c r="AB33" i="2" s="1"/>
  <c r="AE40" i="2"/>
  <c r="AF40" i="2" s="1"/>
  <c r="AE30" i="2"/>
  <c r="AF30" i="2" s="1"/>
  <c r="AA5" i="2"/>
  <c r="AB5" i="2" s="1"/>
  <c r="AI15" i="2"/>
  <c r="AJ15" i="2" s="1"/>
  <c r="AE55" i="2"/>
  <c r="AF55" i="2" s="1"/>
  <c r="AG171" i="2"/>
  <c r="AH171" i="2" s="1"/>
  <c r="AI187" i="2"/>
  <c r="AJ187" i="2" s="1"/>
  <c r="AG139" i="2"/>
  <c r="AH139" i="2" s="1"/>
  <c r="AI55" i="2"/>
  <c r="AJ55" i="2" s="1"/>
  <c r="AA55" i="2"/>
  <c r="AB55" i="2" s="1"/>
  <c r="AA15" i="2"/>
  <c r="AB15" i="2" s="1"/>
  <c r="AG155" i="2"/>
  <c r="AH155" i="2" s="1"/>
  <c r="AE187" i="2"/>
  <c r="AF187" i="2" s="1"/>
  <c r="Y155" i="2"/>
  <c r="Z155" i="2" s="1"/>
  <c r="AA171" i="2"/>
  <c r="AB171" i="2" s="1"/>
  <c r="Y171" i="2"/>
  <c r="Z171" i="2" s="1"/>
  <c r="Y55" i="2"/>
  <c r="Z55" i="2" s="1"/>
  <c r="AA203" i="2"/>
  <c r="AB203" i="2" s="1"/>
  <c r="AA195" i="2"/>
  <c r="AB195" i="2" s="1"/>
  <c r="AA173" i="2"/>
  <c r="AB173" i="2" s="1"/>
  <c r="Y196" i="2"/>
  <c r="Z196" i="2" s="1"/>
  <c r="AE60" i="2"/>
  <c r="AF60" i="2" s="1"/>
  <c r="AA189" i="2"/>
  <c r="AB189" i="2" s="1"/>
  <c r="Y169" i="2"/>
  <c r="Z169" i="2" s="1"/>
  <c r="AE188" i="2"/>
  <c r="AF188" i="2" s="1"/>
  <c r="AC168" i="2"/>
  <c r="AD168" i="2" s="1"/>
  <c r="AA159" i="2"/>
  <c r="AB159" i="2" s="1"/>
  <c r="AA143" i="2"/>
  <c r="AB143" i="2" s="1"/>
  <c r="AG168" i="2"/>
  <c r="AH168" i="2" s="1"/>
  <c r="AE159" i="2"/>
  <c r="AF159" i="2" s="1"/>
  <c r="AA153" i="2"/>
  <c r="AB153" i="2" s="1"/>
  <c r="AE143" i="2"/>
  <c r="AF143" i="2" s="1"/>
  <c r="AE148" i="2"/>
  <c r="AF148" i="2" s="1"/>
  <c r="AC134" i="2"/>
  <c r="AD134" i="2" s="1"/>
  <c r="AE87" i="2"/>
  <c r="AF87" i="2" s="1"/>
  <c r="AC60" i="2"/>
  <c r="AD60" i="2" s="1"/>
  <c r="AA85" i="2"/>
  <c r="AB85" i="2" s="1"/>
  <c r="AG85" i="2"/>
  <c r="AH85" i="2" s="1"/>
  <c r="AI69" i="2"/>
  <c r="AJ69" i="2" s="1"/>
  <c r="AA43" i="2"/>
  <c r="AB43" i="2" s="1"/>
  <c r="AE37" i="2"/>
  <c r="AF37" i="2" s="1"/>
  <c r="AC21" i="2"/>
  <c r="AD21" i="2" s="1"/>
  <c r="AC34" i="2"/>
  <c r="AD34" i="2" s="1"/>
  <c r="AA7" i="2"/>
  <c r="AB7" i="2" s="1"/>
  <c r="AG67" i="2"/>
  <c r="AH67" i="2" s="1"/>
  <c r="Y21" i="2"/>
  <c r="Z21" i="2" s="1"/>
  <c r="AG34" i="2"/>
  <c r="AH34" i="2" s="1"/>
  <c r="AG218" i="2"/>
  <c r="AH218" i="2" s="1"/>
  <c r="AC143" i="2"/>
  <c r="AD143" i="2" s="1"/>
  <c r="AI191" i="2"/>
  <c r="AJ191" i="2" s="1"/>
  <c r="Y143" i="2"/>
  <c r="Z143" i="2" s="1"/>
  <c r="AI166" i="2"/>
  <c r="AJ166" i="2" s="1"/>
  <c r="AG159" i="2"/>
  <c r="AH159" i="2" s="1"/>
  <c r="AG143" i="2"/>
  <c r="AH143" i="2" s="1"/>
  <c r="Y23" i="2"/>
  <c r="Z23" i="2" s="1"/>
  <c r="Y43" i="2"/>
  <c r="Z43" i="2" s="1"/>
  <c r="AI60" i="2"/>
  <c r="AJ60" i="2" s="1"/>
  <c r="AC153" i="2"/>
  <c r="AD153" i="2" s="1"/>
  <c r="AI87" i="2"/>
  <c r="AJ87" i="2" s="1"/>
  <c r="AG88" i="2"/>
  <c r="AH88" i="2" s="1"/>
  <c r="AA175" i="2"/>
  <c r="AB175" i="2" s="1"/>
  <c r="Y60" i="2"/>
  <c r="Z60" i="2" s="1"/>
  <c r="Y189" i="2"/>
  <c r="Z189" i="2" s="1"/>
  <c r="AA208" i="2"/>
  <c r="AB208" i="2" s="1"/>
  <c r="AG208" i="2"/>
  <c r="AH208" i="2" s="1"/>
  <c r="AE208" i="2"/>
  <c r="AF208" i="2" s="1"/>
  <c r="AA196" i="2"/>
  <c r="AB196" i="2" s="1"/>
  <c r="AG191" i="2"/>
  <c r="AH191" i="2" s="1"/>
  <c r="AA188" i="2"/>
  <c r="AB188" i="2" s="1"/>
  <c r="Y168" i="2"/>
  <c r="Z168" i="2" s="1"/>
  <c r="AI137" i="2"/>
  <c r="AJ137" i="2" s="1"/>
  <c r="Y138" i="2"/>
  <c r="Z138" i="2" s="1"/>
  <c r="Y148" i="2"/>
  <c r="Z148" i="2" s="1"/>
  <c r="AA88" i="2"/>
  <c r="AB88" i="2" s="1"/>
  <c r="Y87" i="2"/>
  <c r="Z87" i="2" s="1"/>
  <c r="AG60" i="2"/>
  <c r="AH60" i="2" s="1"/>
  <c r="AI85" i="2"/>
  <c r="AJ85" i="2" s="1"/>
  <c r="AE69" i="2"/>
  <c r="AF69" i="2" s="1"/>
  <c r="AG43" i="2"/>
  <c r="AH43" i="2" s="1"/>
  <c r="AI34" i="2"/>
  <c r="AJ34" i="2" s="1"/>
  <c r="AE7" i="2"/>
  <c r="AF7" i="2" s="1"/>
  <c r="AA16" i="2"/>
  <c r="AB16" i="2" s="1"/>
  <c r="AI21" i="2"/>
  <c r="AJ21" i="2" s="1"/>
  <c r="Y16" i="2"/>
  <c r="Z16" i="2" s="1"/>
  <c r="AC137" i="2"/>
  <c r="AD137" i="2" s="1"/>
  <c r="AC37" i="2"/>
  <c r="AD37" i="2" s="1"/>
  <c r="AC208" i="2"/>
  <c r="AD208" i="2" s="1"/>
  <c r="AE189" i="2"/>
  <c r="AF189" i="2" s="1"/>
  <c r="Y137" i="2"/>
  <c r="Z137" i="2" s="1"/>
  <c r="Y191" i="2"/>
  <c r="Z191" i="2" s="1"/>
  <c r="AG23" i="2"/>
  <c r="AH23" i="2" s="1"/>
  <c r="AI43" i="2"/>
  <c r="AJ43" i="2" s="1"/>
  <c r="AG7" i="2"/>
  <c r="AH7" i="2" s="1"/>
  <c r="Y159" i="2"/>
  <c r="Z159" i="2" s="1"/>
  <c r="AI67" i="2"/>
  <c r="AJ67" i="2" s="1"/>
  <c r="AI219" i="2"/>
  <c r="AJ219" i="2" s="1"/>
  <c r="AI203" i="2"/>
  <c r="AJ203" i="2" s="1"/>
  <c r="AE82" i="2"/>
  <c r="AF82" i="2" s="1"/>
  <c r="AE211" i="2"/>
  <c r="AF211" i="2" s="1"/>
  <c r="AC170" i="2"/>
  <c r="AD170" i="2" s="1"/>
  <c r="AC156" i="2"/>
  <c r="AD156" i="2" s="1"/>
  <c r="AG196" i="2"/>
  <c r="AH196" i="2" s="1"/>
  <c r="AE196" i="2"/>
  <c r="AF196" i="2" s="1"/>
  <c r="Y170" i="2"/>
  <c r="Z170" i="2" s="1"/>
  <c r="Y156" i="2"/>
  <c r="Z156" i="2" s="1"/>
  <c r="AA141" i="2"/>
  <c r="AB141" i="2" s="1"/>
  <c r="Y5" i="2"/>
  <c r="Z5" i="2" s="1"/>
  <c r="AA37" i="2"/>
  <c r="AB37" i="2" s="1"/>
  <c r="AA206" i="2"/>
  <c r="AB206" i="2" s="1"/>
  <c r="Y222" i="2"/>
  <c r="Z222" i="2" s="1"/>
  <c r="Y193" i="2"/>
  <c r="Z193" i="2" s="1"/>
  <c r="AI196" i="2"/>
  <c r="AJ196" i="2" s="1"/>
  <c r="AG193" i="2"/>
  <c r="AH193" i="2" s="1"/>
  <c r="AC179" i="2"/>
  <c r="AD179" i="2" s="1"/>
  <c r="AA170" i="2"/>
  <c r="AB170" i="2" s="1"/>
  <c r="Y136" i="2"/>
  <c r="Z136" i="2" s="1"/>
  <c r="AA22" i="2"/>
  <c r="AB22" i="2" s="1"/>
  <c r="AG131" i="2"/>
  <c r="AH131" i="2" s="1"/>
  <c r="Y47" i="2"/>
  <c r="Z47" i="2" s="1"/>
  <c r="AC147" i="2"/>
  <c r="AD147" i="2" s="1"/>
  <c r="Y147" i="2"/>
  <c r="Z147" i="2" s="1"/>
  <c r="AC211" i="2"/>
  <c r="AD211" i="2" s="1"/>
  <c r="AG195" i="2"/>
  <c r="AH195" i="2" s="1"/>
  <c r="AC176" i="2"/>
  <c r="AD176" i="2" s="1"/>
  <c r="AG176" i="2"/>
  <c r="AH176" i="2" s="1"/>
  <c r="AA176" i="2"/>
  <c r="AB176" i="2" s="1"/>
  <c r="AI173" i="2"/>
  <c r="AJ173" i="2" s="1"/>
  <c r="AA156" i="2"/>
  <c r="AB156" i="2" s="1"/>
  <c r="AA157" i="2"/>
  <c r="AB157" i="2" s="1"/>
  <c r="AC136" i="2"/>
  <c r="AD136" i="2" s="1"/>
  <c r="AA73" i="2"/>
  <c r="AB73" i="2" s="1"/>
  <c r="AC38" i="2"/>
  <c r="AD38" i="2" s="1"/>
  <c r="AC66" i="2"/>
  <c r="AD66" i="2" s="1"/>
  <c r="Y157" i="2"/>
  <c r="Z157" i="2" s="1"/>
  <c r="AE138" i="2"/>
  <c r="AF138" i="2" s="1"/>
  <c r="AG163" i="2"/>
  <c r="AH163" i="2" s="1"/>
  <c r="AE22" i="2"/>
  <c r="AF22" i="2" s="1"/>
  <c r="AG31" i="2"/>
  <c r="AH31" i="2" s="1"/>
  <c r="AG147" i="2"/>
  <c r="AH147" i="2" s="1"/>
  <c r="Y89" i="2"/>
  <c r="Z89" i="2" s="1"/>
  <c r="AA38" i="2"/>
  <c r="AB38" i="2" s="1"/>
  <c r="AI31" i="2"/>
  <c r="AJ31" i="2" s="1"/>
  <c r="Y71" i="2"/>
  <c r="Z71" i="2" s="1"/>
  <c r="Y68" i="2"/>
  <c r="Z68" i="2" s="1"/>
  <c r="AI57" i="2"/>
  <c r="AJ57" i="2" s="1"/>
  <c r="AG39" i="2"/>
  <c r="AH39" i="2" s="1"/>
  <c r="Y25" i="2"/>
  <c r="Z25" i="2" s="1"/>
  <c r="AA222" i="2"/>
  <c r="AB222" i="2" s="1"/>
  <c r="Y211" i="2"/>
  <c r="Z211" i="2" s="1"/>
  <c r="AE195" i="2"/>
  <c r="AF195" i="2" s="1"/>
  <c r="AC193" i="2"/>
  <c r="AD193" i="2" s="1"/>
  <c r="AA193" i="2"/>
  <c r="AB193" i="2" s="1"/>
  <c r="AE193" i="2"/>
  <c r="AF193" i="2" s="1"/>
  <c r="AG179" i="2"/>
  <c r="AH179" i="2" s="1"/>
  <c r="AE173" i="2"/>
  <c r="AF173" i="2" s="1"/>
  <c r="AI170" i="2"/>
  <c r="AJ170" i="2" s="1"/>
  <c r="AE163" i="2"/>
  <c r="AF163" i="2" s="1"/>
  <c r="AI157" i="2"/>
  <c r="AJ157" i="2" s="1"/>
  <c r="AI141" i="2"/>
  <c r="AJ141" i="2" s="1"/>
  <c r="AG138" i="2"/>
  <c r="AH138" i="2" s="1"/>
  <c r="AC89" i="2"/>
  <c r="AD89" i="2" s="1"/>
  <c r="AI82" i="2"/>
  <c r="AJ82" i="2" s="1"/>
  <c r="AG68" i="2"/>
  <c r="AH68" i="2" s="1"/>
  <c r="AG57" i="2"/>
  <c r="AH57" i="2" s="1"/>
  <c r="AG41" i="2"/>
  <c r="AH41" i="2" s="1"/>
  <c r="AG28" i="2"/>
  <c r="AH28" i="2" s="1"/>
  <c r="AG22" i="2"/>
  <c r="AH22" i="2" s="1"/>
  <c r="AI66" i="2"/>
  <c r="AJ66" i="2" s="1"/>
  <c r="AG38" i="2"/>
  <c r="AH38" i="2" s="1"/>
  <c r="AE57" i="2"/>
  <c r="AF57" i="2" s="1"/>
  <c r="AC206" i="2"/>
  <c r="AD206" i="2" s="1"/>
  <c r="AC157" i="2"/>
  <c r="AD157" i="2" s="1"/>
  <c r="AG71" i="2"/>
  <c r="AH71" i="2" s="1"/>
  <c r="AA28" i="2"/>
  <c r="AB28" i="2" s="1"/>
  <c r="Y73" i="2"/>
  <c r="Z73" i="2" s="1"/>
  <c r="AE68" i="2"/>
  <c r="AF68" i="2" s="1"/>
  <c r="AG47" i="2"/>
  <c r="AH47" i="2" s="1"/>
  <c r="AI25" i="2"/>
  <c r="AJ25" i="2" s="1"/>
  <c r="AI211" i="2"/>
  <c r="AJ211" i="2" s="1"/>
  <c r="Y163" i="2"/>
  <c r="Z163" i="2" s="1"/>
  <c r="Y41" i="2"/>
  <c r="Z41" i="2" s="1"/>
  <c r="AE179" i="2"/>
  <c r="AF179" i="2" s="1"/>
  <c r="AE147" i="2"/>
  <c r="AF147" i="2" s="1"/>
  <c r="AG89" i="2"/>
  <c r="AH89" i="2" s="1"/>
  <c r="AA57" i="2"/>
  <c r="AB57" i="2" s="1"/>
  <c r="AA41" i="2"/>
  <c r="AB41" i="2" s="1"/>
  <c r="AG25" i="2"/>
  <c r="AH25" i="2" s="1"/>
  <c r="Y38" i="2"/>
  <c r="Z38" i="2" s="1"/>
  <c r="Y66" i="2"/>
  <c r="Z66" i="2" s="1"/>
  <c r="AA136" i="2"/>
  <c r="AB136" i="2" s="1"/>
  <c r="AE31" i="2"/>
  <c r="AF31" i="2" s="1"/>
  <c r="AA138" i="2"/>
  <c r="AB138" i="2" s="1"/>
  <c r="AG206" i="2"/>
  <c r="AH206" i="2" s="1"/>
  <c r="AI131" i="2"/>
  <c r="AJ131" i="2" s="1"/>
  <c r="AG82" i="2"/>
  <c r="AH82" i="2" s="1"/>
  <c r="AC71" i="2"/>
  <c r="AD71" i="2" s="1"/>
  <c r="AI28" i="2"/>
  <c r="AJ28" i="2" s="1"/>
  <c r="AI73" i="2"/>
  <c r="AJ73" i="2" s="1"/>
  <c r="AI68" i="2"/>
  <c r="AJ68" i="2" s="1"/>
  <c r="AA47" i="2"/>
  <c r="AB47" i="2" s="1"/>
  <c r="AC25" i="2"/>
  <c r="AD25" i="2" s="1"/>
  <c r="AC163" i="2"/>
  <c r="AD163" i="2" s="1"/>
  <c r="AA211" i="2"/>
  <c r="AB211" i="2" s="1"/>
  <c r="AI71" i="2"/>
  <c r="AJ71" i="2" s="1"/>
  <c r="AC131" i="2"/>
  <c r="AD131" i="2" s="1"/>
  <c r="AE28" i="2"/>
  <c r="AF28" i="2" s="1"/>
  <c r="AI89" i="2"/>
  <c r="AJ89" i="2" s="1"/>
  <c r="AE222" i="2"/>
  <c r="AF222" i="2" s="1"/>
  <c r="Y195" i="2"/>
  <c r="Z195" i="2" s="1"/>
  <c r="AI222" i="2"/>
  <c r="AJ222" i="2" s="1"/>
  <c r="AC222" i="2"/>
  <c r="AD222" i="2" s="1"/>
  <c r="AI206" i="2"/>
  <c r="AJ206" i="2" s="1"/>
  <c r="AC195" i="2"/>
  <c r="AD195" i="2" s="1"/>
  <c r="Y179" i="2"/>
  <c r="Z179" i="2" s="1"/>
  <c r="AG173" i="2"/>
  <c r="AH173" i="2" s="1"/>
  <c r="AA179" i="2"/>
  <c r="AB179" i="2" s="1"/>
  <c r="AE176" i="2"/>
  <c r="AF176" i="2" s="1"/>
  <c r="Y173" i="2"/>
  <c r="Z173" i="2" s="1"/>
  <c r="AE170" i="2"/>
  <c r="AF170" i="2" s="1"/>
  <c r="AA163" i="2"/>
  <c r="AB163" i="2" s="1"/>
  <c r="AA147" i="2"/>
  <c r="AB147" i="2" s="1"/>
  <c r="AI156" i="2"/>
  <c r="AJ156" i="2" s="1"/>
  <c r="AG156" i="2"/>
  <c r="AH156" i="2" s="1"/>
  <c r="AC138" i="2"/>
  <c r="AD138" i="2" s="1"/>
  <c r="AG136" i="2"/>
  <c r="AH136" i="2" s="1"/>
  <c r="AC68" i="2"/>
  <c r="AD68" i="2" s="1"/>
  <c r="AC28" i="2"/>
  <c r="AD28" i="2" s="1"/>
  <c r="AE89" i="2"/>
  <c r="AF89" i="2" s="1"/>
  <c r="AA82" i="2"/>
  <c r="AB82" i="2" s="1"/>
  <c r="AG73" i="2"/>
  <c r="AH73" i="2" s="1"/>
  <c r="AA25" i="2"/>
  <c r="AB25" i="2" s="1"/>
  <c r="AI22" i="2"/>
  <c r="AJ22" i="2" s="1"/>
  <c r="AA66" i="2"/>
  <c r="AB66" i="2" s="1"/>
  <c r="AE66" i="2"/>
  <c r="AF66" i="2" s="1"/>
  <c r="AE41" i="2"/>
  <c r="AF41" i="2" s="1"/>
  <c r="AG157" i="2"/>
  <c r="AH157" i="2" s="1"/>
  <c r="AE136" i="2"/>
  <c r="AF136" i="2" s="1"/>
  <c r="Y131" i="2"/>
  <c r="Z131" i="2" s="1"/>
  <c r="AC82" i="2"/>
  <c r="AD82" i="2" s="1"/>
  <c r="AA71" i="2"/>
  <c r="AB71" i="2" s="1"/>
  <c r="AE38" i="2"/>
  <c r="AF38" i="2" s="1"/>
  <c r="AC73" i="2"/>
  <c r="AD73" i="2" s="1"/>
  <c r="AC47" i="2"/>
  <c r="AD47" i="2" s="1"/>
  <c r="AC22" i="2"/>
  <c r="AD22" i="2" s="1"/>
  <c r="Y206" i="2"/>
  <c r="Z206" i="2" s="1"/>
  <c r="Y57" i="2"/>
  <c r="Z57" i="2" s="1"/>
  <c r="AA31" i="2"/>
  <c r="AB31" i="2" s="1"/>
  <c r="AA131" i="2"/>
  <c r="AB131" i="2" s="1"/>
  <c r="AG141" i="2"/>
  <c r="AH141" i="2" s="1"/>
  <c r="AC141" i="2"/>
  <c r="AD141" i="2" s="1"/>
  <c r="Y141" i="2"/>
  <c r="Z141" i="2" s="1"/>
  <c r="Y33" i="2"/>
  <c r="Z33" i="2" s="1"/>
  <c r="Y31" i="2"/>
  <c r="Z31" i="2" s="1"/>
  <c r="AE23" i="2"/>
  <c r="AF23" i="2" s="1"/>
  <c r="AE47" i="2"/>
  <c r="AF47" i="2" s="1"/>
  <c r="AC40" i="2"/>
  <c r="AD40" i="2" s="1"/>
  <c r="AA215" i="2"/>
  <c r="AB215" i="2" s="1"/>
  <c r="AA199" i="2"/>
  <c r="AB199" i="2" s="1"/>
  <c r="AG199" i="2"/>
  <c r="AH199" i="2" s="1"/>
  <c r="AE151" i="2"/>
  <c r="AF151" i="2" s="1"/>
  <c r="Y134" i="2"/>
  <c r="Z134" i="2" s="1"/>
  <c r="AA49" i="2"/>
  <c r="AB49" i="2" s="1"/>
  <c r="AG36" i="2"/>
  <c r="AH36" i="2" s="1"/>
  <c r="AG75" i="2"/>
  <c r="AH75" i="2" s="1"/>
  <c r="AG50" i="2"/>
  <c r="AH50" i="2" s="1"/>
  <c r="AE50" i="2"/>
  <c r="AF50" i="2" s="1"/>
  <c r="AE84" i="2"/>
  <c r="AF84" i="2" s="1"/>
  <c r="AE77" i="2"/>
  <c r="AF77" i="2" s="1"/>
  <c r="AG51" i="2"/>
  <c r="AH51" i="2" s="1"/>
  <c r="AI26" i="2"/>
  <c r="AJ26" i="2" s="1"/>
  <c r="AA78" i="2"/>
  <c r="AB78" i="2" s="1"/>
  <c r="AE61" i="2"/>
  <c r="AF61" i="2" s="1"/>
  <c r="AG42" i="2"/>
  <c r="AH42" i="2" s="1"/>
  <c r="AE42" i="2"/>
  <c r="AF42" i="2" s="1"/>
  <c r="AG35" i="2"/>
  <c r="AH35" i="2" s="1"/>
  <c r="AC58" i="2"/>
  <c r="AD58" i="2" s="1"/>
  <c r="AI51" i="2"/>
  <c r="AJ51" i="2" s="1"/>
  <c r="Y161" i="2"/>
  <c r="Z161" i="2" s="1"/>
  <c r="AG129" i="2"/>
  <c r="AH129" i="2" s="1"/>
  <c r="AE49" i="2"/>
  <c r="AF49" i="2" s="1"/>
  <c r="AI215" i="2"/>
  <c r="AJ215" i="2" s="1"/>
  <c r="AA184" i="2"/>
  <c r="AB184" i="2" s="1"/>
  <c r="Y151" i="2"/>
  <c r="Z151" i="2" s="1"/>
  <c r="AE36" i="2"/>
  <c r="AF36" i="2" s="1"/>
  <c r="AG151" i="2"/>
  <c r="AH151" i="2" s="1"/>
  <c r="Y75" i="2"/>
  <c r="Z75" i="2" s="1"/>
  <c r="AA166" i="2"/>
  <c r="AB166" i="2" s="1"/>
  <c r="AI135" i="2"/>
  <c r="AJ135" i="2" s="1"/>
  <c r="AG202" i="2"/>
  <c r="AH202" i="2" s="1"/>
  <c r="AC61" i="2"/>
  <c r="AD61" i="2" s="1"/>
  <c r="AC29" i="2"/>
  <c r="AD29" i="2" s="1"/>
  <c r="AA50" i="2"/>
  <c r="AB50" i="2" s="1"/>
  <c r="AC205" i="2"/>
  <c r="AD205" i="2" s="1"/>
  <c r="AI177" i="2"/>
  <c r="AJ177" i="2" s="1"/>
  <c r="AE161" i="2"/>
  <c r="AF161" i="2" s="1"/>
  <c r="AE145" i="2"/>
  <c r="AF145" i="2" s="1"/>
  <c r="AE129" i="2"/>
  <c r="AF129" i="2" s="1"/>
  <c r="AC77" i="2"/>
  <c r="AD77" i="2" s="1"/>
  <c r="AG61" i="2"/>
  <c r="AH61" i="2" s="1"/>
  <c r="AG183" i="2"/>
  <c r="AH183" i="2" s="1"/>
  <c r="AE183" i="2"/>
  <c r="AF183" i="2" s="1"/>
  <c r="AI218" i="2"/>
  <c r="AJ218" i="2" s="1"/>
  <c r="AG205" i="2"/>
  <c r="AH205" i="2" s="1"/>
  <c r="AI202" i="2"/>
  <c r="AJ202" i="2" s="1"/>
  <c r="AE205" i="2"/>
  <c r="AF205" i="2" s="1"/>
  <c r="AE199" i="2"/>
  <c r="AF199" i="2" s="1"/>
  <c r="Y184" i="2"/>
  <c r="Z184" i="2" s="1"/>
  <c r="AI184" i="2"/>
  <c r="AJ184" i="2" s="1"/>
  <c r="Y183" i="2"/>
  <c r="Z183" i="2" s="1"/>
  <c r="AC177" i="2"/>
  <c r="AD177" i="2" s="1"/>
  <c r="AA177" i="2"/>
  <c r="AB177" i="2" s="1"/>
  <c r="AC167" i="2"/>
  <c r="AD167" i="2" s="1"/>
  <c r="AA167" i="2"/>
  <c r="AB167" i="2" s="1"/>
  <c r="AA145" i="2"/>
  <c r="AB145" i="2" s="1"/>
  <c r="AI129" i="2"/>
  <c r="AJ129" i="2" s="1"/>
  <c r="Y144" i="2"/>
  <c r="Z144" i="2" s="1"/>
  <c r="AA134" i="2"/>
  <c r="AB134" i="2" s="1"/>
  <c r="AG134" i="2"/>
  <c r="AH134" i="2" s="1"/>
  <c r="AC36" i="2"/>
  <c r="AD36" i="2" s="1"/>
  <c r="AG77" i="2"/>
  <c r="AH77" i="2" s="1"/>
  <c r="AC50" i="2"/>
  <c r="AD50" i="2" s="1"/>
  <c r="Y84" i="2"/>
  <c r="Z84" i="2" s="1"/>
  <c r="AI84" i="2"/>
  <c r="AJ84" i="2" s="1"/>
  <c r="AG58" i="2"/>
  <c r="AH58" i="2" s="1"/>
  <c r="Y26" i="2"/>
  <c r="Z26" i="2" s="1"/>
  <c r="AE78" i="2"/>
  <c r="AF78" i="2" s="1"/>
  <c r="AC42" i="2"/>
  <c r="AD42" i="2" s="1"/>
  <c r="Y29" i="2"/>
  <c r="Z29" i="2" s="1"/>
  <c r="AI58" i="2"/>
  <c r="AJ58" i="2" s="1"/>
  <c r="AG26" i="2"/>
  <c r="AH26" i="2" s="1"/>
  <c r="Y51" i="2"/>
  <c r="Z51" i="2" s="1"/>
  <c r="AC135" i="2"/>
  <c r="AD135" i="2" s="1"/>
  <c r="AG145" i="2"/>
  <c r="AH145" i="2" s="1"/>
  <c r="Y218" i="2"/>
  <c r="Z218" i="2" s="1"/>
  <c r="Y202" i="2"/>
  <c r="Z202" i="2" s="1"/>
  <c r="AC145" i="2"/>
  <c r="AD145" i="2" s="1"/>
  <c r="AC204" i="2"/>
  <c r="AD204" i="2" s="1"/>
  <c r="Y78" i="2"/>
  <c r="Z78" i="2" s="1"/>
  <c r="Y35" i="2"/>
  <c r="Z35" i="2" s="1"/>
  <c r="AA52" i="2"/>
  <c r="AB52" i="2" s="1"/>
  <c r="AA36" i="2"/>
  <c r="AB36" i="2" s="1"/>
  <c r="Y129" i="2"/>
  <c r="Z129" i="2" s="1"/>
  <c r="AI49" i="2"/>
  <c r="AJ49" i="2" s="1"/>
  <c r="Y49" i="2"/>
  <c r="Z49" i="2" s="1"/>
  <c r="AG184" i="2"/>
  <c r="AH184" i="2" s="1"/>
  <c r="AI144" i="2"/>
  <c r="AJ144" i="2" s="1"/>
  <c r="AC84" i="2"/>
  <c r="AD84" i="2" s="1"/>
  <c r="AE52" i="2"/>
  <c r="AF52" i="2" s="1"/>
  <c r="AE215" i="2"/>
  <c r="AF215" i="2" s="1"/>
  <c r="AA218" i="2"/>
  <c r="AB218" i="2" s="1"/>
  <c r="AC215" i="2"/>
  <c r="AD215" i="2" s="1"/>
  <c r="AA202" i="2"/>
  <c r="AB202" i="2" s="1"/>
  <c r="Y199" i="2"/>
  <c r="Z199" i="2" s="1"/>
  <c r="AC183" i="2"/>
  <c r="AD183" i="2" s="1"/>
  <c r="Y166" i="2"/>
  <c r="Z166" i="2" s="1"/>
  <c r="AE166" i="2"/>
  <c r="AF166" i="2" s="1"/>
  <c r="AE167" i="2"/>
  <c r="AF167" i="2" s="1"/>
  <c r="AE134" i="2"/>
  <c r="AF134" i="2" s="1"/>
  <c r="AG52" i="2"/>
  <c r="AH52" i="2" s="1"/>
  <c r="AE75" i="2"/>
  <c r="AF75" i="2" s="1"/>
  <c r="AA61" i="2"/>
  <c r="AB61" i="2" s="1"/>
  <c r="AE51" i="2"/>
  <c r="AF51" i="2" s="1"/>
  <c r="AE26" i="2"/>
  <c r="AF26" i="2" s="1"/>
  <c r="AI78" i="2"/>
  <c r="AJ78" i="2" s="1"/>
  <c r="AI42" i="2"/>
  <c r="AJ42" i="2" s="1"/>
  <c r="AE35" i="2"/>
  <c r="AF35" i="2" s="1"/>
  <c r="Y58" i="2"/>
  <c r="Z58" i="2" s="1"/>
  <c r="AI35" i="2"/>
  <c r="AJ35" i="2" s="1"/>
  <c r="AI36" i="2"/>
  <c r="AJ36" i="2" s="1"/>
  <c r="AA135" i="2"/>
  <c r="AB135" i="2" s="1"/>
  <c r="AI75" i="2"/>
  <c r="AJ75" i="2" s="1"/>
  <c r="AC151" i="2"/>
  <c r="AD151" i="2" s="1"/>
  <c r="AA39" i="2"/>
  <c r="AB39" i="2" s="1"/>
  <c r="AI39" i="2"/>
  <c r="AJ39" i="2" s="1"/>
  <c r="AI41" i="2"/>
  <c r="AJ41" i="2" s="1"/>
  <c r="AC39" i="2"/>
  <c r="AD39" i="2" s="1"/>
  <c r="I39" i="17"/>
  <c r="AC225" i="2" l="1"/>
  <c r="AD225" i="2"/>
  <c r="AJ225" i="2"/>
  <c r="AF225" i="2"/>
  <c r="AA225" i="2"/>
  <c r="AB225" i="2"/>
  <c r="AI225" i="2"/>
  <c r="AH225" i="2"/>
  <c r="AE225" i="2"/>
  <c r="Z225" i="2"/>
  <c r="AL225" i="2" s="1"/>
  <c r="AG225" i="2"/>
  <c r="Y225" i="2"/>
  <c r="F24" i="26"/>
  <c r="I18" i="17"/>
  <c r="J18" i="17"/>
  <c r="J21" i="17"/>
  <c r="J24" i="17"/>
  <c r="AK225" i="2" l="1"/>
  <c r="K40" i="17"/>
  <c r="K41" i="17"/>
  <c r="J43" i="17"/>
  <c r="D3" i="25"/>
  <c r="D2" i="25"/>
  <c r="D14" i="25"/>
  <c r="D12" i="25"/>
  <c r="D9" i="25"/>
  <c r="D5" i="25"/>
  <c r="D4" i="25"/>
  <c r="B10" i="25"/>
  <c r="B13" i="25"/>
  <c r="D11" i="25"/>
  <c r="E10" i="25" l="1"/>
  <c r="D10" i="25" s="1"/>
  <c r="E13" i="25" l="1"/>
  <c r="D13" i="25" l="1"/>
  <c r="E18" i="25"/>
  <c r="E12" i="24"/>
  <c r="F12" i="24" s="1"/>
  <c r="E13" i="24"/>
  <c r="F13" i="24" s="1"/>
  <c r="E15" i="24"/>
  <c r="F15" i="24" s="1"/>
  <c r="E18" i="24"/>
  <c r="F18" i="24" s="1"/>
  <c r="D10" i="24"/>
  <c r="E10" i="24" s="1"/>
  <c r="L10" i="24"/>
  <c r="L16" i="24"/>
  <c r="K19" i="24"/>
  <c r="L13" i="24"/>
  <c r="Q10" i="24"/>
  <c r="Q16" i="24"/>
  <c r="Q13" i="24"/>
  <c r="Q19" i="24" l="1"/>
  <c r="L19" i="24"/>
  <c r="P20" i="22"/>
  <c r="G13" i="22"/>
  <c r="G20" i="22"/>
  <c r="E20" i="22"/>
  <c r="F20" i="22"/>
  <c r="J20" i="22"/>
  <c r="K20" i="22"/>
  <c r="L20" i="22"/>
  <c r="M20" i="22"/>
  <c r="N20" i="22"/>
  <c r="O20" i="22"/>
  <c r="Q20" i="22"/>
  <c r="R20" i="22"/>
  <c r="D20" i="22"/>
  <c r="E16" i="24" l="1"/>
  <c r="F16" i="24" s="1"/>
  <c r="F19" i="24"/>
  <c r="S10" i="18"/>
  <c r="S9" i="18"/>
  <c r="S8" i="18"/>
  <c r="S7" i="18"/>
  <c r="J10" i="17"/>
  <c r="J9" i="17"/>
  <c r="S45" i="16"/>
  <c r="S44" i="16"/>
  <c r="T43" i="16"/>
  <c r="S43" i="16"/>
  <c r="J57" i="17" l="1"/>
  <c r="AE62" i="10"/>
  <c r="AD62" i="10"/>
  <c r="AB62" i="10"/>
  <c r="AA62" i="10"/>
  <c r="Z62" i="10"/>
  <c r="Y62" i="10"/>
  <c r="Y60" i="10" s="1"/>
  <c r="Y59" i="10" s="1"/>
  <c r="X62" i="10"/>
  <c r="X60" i="10" s="1"/>
  <c r="X59" i="10" s="1"/>
  <c r="W62" i="10"/>
  <c r="V62" i="10"/>
  <c r="V60" i="10" s="1"/>
  <c r="V59" i="10" s="1"/>
  <c r="U62" i="10"/>
  <c r="U60" i="10" s="1"/>
  <c r="U59" i="10" s="1"/>
  <c r="T62" i="10"/>
  <c r="T60" i="10" s="1"/>
  <c r="T59" i="10" s="1"/>
  <c r="AE60" i="10"/>
  <c r="AE59" i="10" s="1"/>
  <c r="AE80" i="10" s="1"/>
  <c r="AD60" i="10"/>
  <c r="AD59" i="10" s="1"/>
  <c r="AC60" i="10"/>
  <c r="AC59" i="10" s="1"/>
  <c r="AB60" i="10"/>
  <c r="AB59" i="10" s="1"/>
  <c r="AB80" i="10" s="1"/>
  <c r="AA60" i="10"/>
  <c r="AA59" i="10" s="1"/>
  <c r="Z60" i="10"/>
  <c r="Z59" i="10" s="1"/>
  <c r="W60" i="10"/>
  <c r="W59" i="10" s="1"/>
  <c r="AC19" i="10"/>
  <c r="AC17" i="10" s="1"/>
  <c r="AB19" i="10"/>
  <c r="Y19" i="10"/>
  <c r="X19" i="10"/>
  <c r="X17" i="10" s="1"/>
  <c r="W19" i="10"/>
  <c r="W17" i="10" s="1"/>
  <c r="V19" i="10"/>
  <c r="V17" i="10" s="1"/>
  <c r="U19" i="10"/>
  <c r="U17" i="10" s="1"/>
  <c r="T19" i="10"/>
  <c r="T17" i="10" s="1"/>
  <c r="AB17" i="10"/>
  <c r="AA17" i="10"/>
  <c r="AA16" i="10" s="1"/>
  <c r="Z17" i="10"/>
  <c r="Z16" i="10" s="1"/>
  <c r="Y17" i="10"/>
  <c r="AF46" i="8"/>
  <c r="AF44" i="8" s="1"/>
  <c r="AF43" i="8" s="1"/>
  <c r="AE46" i="8"/>
  <c r="AE44" i="8" s="1"/>
  <c r="AE43" i="8" s="1"/>
  <c r="AD46" i="8"/>
  <c r="AD44" i="8" s="1"/>
  <c r="AD43" i="8" s="1"/>
  <c r="AC46" i="8"/>
  <c r="AC44" i="8" s="1"/>
  <c r="AC43" i="8" s="1"/>
  <c r="AB46" i="8"/>
  <c r="AB44" i="8" s="1"/>
  <c r="AB43" i="8" s="1"/>
  <c r="AA46" i="8"/>
  <c r="AA44" i="8" s="1"/>
  <c r="AA43" i="8" s="1"/>
  <c r="Z46" i="8"/>
  <c r="Z44" i="8" s="1"/>
  <c r="Z43" i="8" s="1"/>
  <c r="Y46" i="8"/>
  <c r="Y44" i="8" s="1"/>
  <c r="Y43" i="8" s="1"/>
  <c r="X46" i="8"/>
  <c r="X44" i="8" s="1"/>
  <c r="X43" i="8" s="1"/>
  <c r="W46" i="8"/>
  <c r="V44" i="8"/>
  <c r="V43" i="8" s="1"/>
  <c r="U46" i="8"/>
  <c r="U44" i="8" s="1"/>
  <c r="U43" i="8" s="1"/>
  <c r="W44" i="8"/>
  <c r="W43" i="8" s="1"/>
  <c r="AF29" i="8"/>
  <c r="AE29" i="8"/>
  <c r="AD29" i="8"/>
  <c r="AC29" i="8"/>
  <c r="AB29" i="8"/>
  <c r="AA29" i="8"/>
  <c r="Z29" i="8"/>
  <c r="Y29" i="8"/>
  <c r="W29" i="8"/>
  <c r="V29" i="8"/>
  <c r="V27" i="8" s="1"/>
  <c r="V26" i="8" s="1"/>
  <c r="V51" i="8" s="1"/>
  <c r="U29" i="8"/>
  <c r="U27" i="8" s="1"/>
  <c r="U26" i="8" s="1"/>
  <c r="U51" i="8" s="1"/>
  <c r="AF26" i="8"/>
  <c r="AE26" i="8"/>
  <c r="AD26" i="8"/>
  <c r="AC26" i="8"/>
  <c r="AB26" i="8"/>
  <c r="AA26" i="8"/>
  <c r="Z26" i="8"/>
  <c r="Y26" i="8"/>
  <c r="X26" i="8"/>
  <c r="W26" i="8"/>
  <c r="E8" i="14"/>
  <c r="E31" i="14" s="1"/>
  <c r="Q8" i="14"/>
  <c r="Q31" i="14" s="1"/>
  <c r="N8" i="14"/>
  <c r="N31" i="14" s="1"/>
  <c r="J8" i="14"/>
  <c r="J31" i="14" s="1"/>
  <c r="I8" i="14"/>
  <c r="I31" i="14" s="1"/>
  <c r="H8" i="14"/>
  <c r="H31" i="14" s="1"/>
  <c r="F8" i="14"/>
  <c r="F31" i="14" s="1"/>
  <c r="P32" i="13"/>
  <c r="O32" i="13"/>
  <c r="N32" i="13"/>
  <c r="M32" i="13"/>
  <c r="H32" i="13"/>
  <c r="G32" i="13"/>
  <c r="F32" i="13"/>
  <c r="E32" i="13"/>
  <c r="P9" i="13"/>
  <c r="O9" i="13"/>
  <c r="N9" i="13"/>
  <c r="M9" i="13"/>
  <c r="H9" i="13"/>
  <c r="G9" i="13"/>
  <c r="F9" i="13"/>
  <c r="E9" i="13"/>
  <c r="I19" i="11"/>
  <c r="I42" i="11" s="1"/>
  <c r="H19" i="11"/>
  <c r="H42" i="11" s="1"/>
  <c r="R232" i="2" s="1"/>
  <c r="L78" i="10"/>
  <c r="M78" i="10" s="1"/>
  <c r="L77" i="10"/>
  <c r="M77" i="10" s="1"/>
  <c r="L76" i="10"/>
  <c r="M76" i="10" s="1"/>
  <c r="L75" i="10"/>
  <c r="M75" i="10" s="1"/>
  <c r="L74" i="10"/>
  <c r="M74" i="10" s="1"/>
  <c r="L73" i="10"/>
  <c r="M73" i="10" s="1"/>
  <c r="L72" i="10"/>
  <c r="M72" i="10" s="1"/>
  <c r="L71" i="10"/>
  <c r="M71" i="10" s="1"/>
  <c r="L70" i="10"/>
  <c r="M70" i="10" s="1"/>
  <c r="L69" i="10"/>
  <c r="M69" i="10" s="1"/>
  <c r="L68" i="10"/>
  <c r="M68" i="10" s="1"/>
  <c r="L67" i="10"/>
  <c r="M67" i="10" s="1"/>
  <c r="L66" i="10"/>
  <c r="M66" i="10" s="1"/>
  <c r="L65" i="10"/>
  <c r="M65" i="10" s="1"/>
  <c r="L64" i="10"/>
  <c r="M64" i="10" s="1"/>
  <c r="K62" i="10"/>
  <c r="K60" i="10" s="1"/>
  <c r="K59" i="10" s="1"/>
  <c r="L62" i="10"/>
  <c r="M62" i="10" s="1"/>
  <c r="L34" i="10"/>
  <c r="M34" i="10" s="1"/>
  <c r="AC34" i="10" s="1"/>
  <c r="AC32" i="10" s="1"/>
  <c r="AC30" i="10" s="1"/>
  <c r="AC29" i="10" s="1"/>
  <c r="K32" i="10"/>
  <c r="K30" i="10" s="1"/>
  <c r="L32" i="10"/>
  <c r="M32" i="10" s="1"/>
  <c r="K19" i="10"/>
  <c r="K17" i="10" s="1"/>
  <c r="K16" i="10" s="1"/>
  <c r="L19" i="10"/>
  <c r="M19" i="10" s="1"/>
  <c r="M48" i="8"/>
  <c r="N48" i="8" s="1"/>
  <c r="K44" i="8"/>
  <c r="K43" i="8" s="1"/>
  <c r="J44" i="8"/>
  <c r="N31" i="8"/>
  <c r="M31" i="8"/>
  <c r="K27" i="8"/>
  <c r="K26" i="8" s="1"/>
  <c r="M29" i="8"/>
  <c r="N29" i="8" s="1"/>
  <c r="AB23" i="3"/>
  <c r="AF36" i="3"/>
  <c r="AC36" i="3"/>
  <c r="O9" i="5"/>
  <c r="O24" i="5" s="1"/>
  <c r="N9" i="5"/>
  <c r="N24" i="5" s="1"/>
  <c r="I36" i="3"/>
  <c r="R229" i="2" s="1"/>
  <c r="H36" i="3"/>
  <c r="T80" i="10" l="1"/>
  <c r="X80" i="10"/>
  <c r="AA80" i="10"/>
  <c r="W80" i="10"/>
  <c r="AB21" i="3"/>
  <c r="AB20" i="3" s="1"/>
  <c r="Z80" i="10"/>
  <c r="AD80" i="10"/>
  <c r="V80" i="10"/>
  <c r="Y80" i="10"/>
  <c r="U80" i="10"/>
  <c r="AC80" i="10"/>
  <c r="W51" i="8"/>
  <c r="AE51" i="8"/>
  <c r="AA51" i="8"/>
  <c r="Z51" i="8"/>
  <c r="AD51" i="8"/>
  <c r="X51" i="8"/>
  <c r="AB51" i="8"/>
  <c r="AF51" i="8"/>
  <c r="Y51" i="8"/>
  <c r="AC51" i="8"/>
  <c r="K8" i="14"/>
  <c r="K31" i="14" s="1"/>
  <c r="J17" i="10"/>
  <c r="J16" i="10" s="1"/>
  <c r="J60" i="10"/>
  <c r="K80" i="10"/>
  <c r="J27" i="8"/>
  <c r="M27" i="8" s="1"/>
  <c r="N27" i="8" s="1"/>
  <c r="K51" i="8"/>
  <c r="J43" i="8"/>
  <c r="M43" i="8" s="1"/>
  <c r="N43" i="8" s="1"/>
  <c r="M44" i="8"/>
  <c r="N44" i="8" s="1"/>
  <c r="M46" i="8"/>
  <c r="N46" i="8"/>
  <c r="AB36" i="3"/>
  <c r="P36" i="3"/>
  <c r="P20" i="3"/>
  <c r="L30" i="10" l="1"/>
  <c r="M30" i="10"/>
  <c r="L29" i="10"/>
  <c r="M29" i="10" s="1"/>
  <c r="L17" i="10"/>
  <c r="J59" i="10"/>
  <c r="J80" i="10" s="1"/>
  <c r="L60" i="10"/>
  <c r="M60" i="10" s="1"/>
  <c r="J26" i="8"/>
  <c r="J51" i="8" s="1"/>
  <c r="M17" i="10" l="1"/>
  <c r="M16" i="10" s="1"/>
  <c r="L16" i="10"/>
  <c r="M26" i="8"/>
  <c r="N26" i="8" s="1"/>
  <c r="L59" i="10"/>
  <c r="M59" i="10"/>
  <c r="Q20" i="3"/>
  <c r="Q36" i="3"/>
  <c r="L80" i="10" l="1"/>
  <c r="M80" i="10" s="1"/>
  <c r="R231" i="2"/>
  <c r="M51" i="8"/>
  <c r="R230" i="2"/>
  <c r="N51" i="8"/>
  <c r="S36" i="3"/>
  <c r="S20" i="3"/>
  <c r="R36" i="3"/>
  <c r="R20" i="3"/>
  <c r="V4" i="2"/>
  <c r="W4" i="2" s="1"/>
  <c r="X4" i="2" s="1"/>
  <c r="AG4" i="2" l="1"/>
  <c r="AE4" i="2"/>
  <c r="AC4" i="2"/>
  <c r="AA4" i="2"/>
  <c r="AI4" i="2"/>
  <c r="Y4" i="2"/>
  <c r="Y224" i="2" l="1"/>
  <c r="Z4" i="2"/>
  <c r="Z224" i="2" s="1"/>
  <c r="AJ4" i="2"/>
  <c r="AJ224" i="2" s="1"/>
  <c r="AI224" i="2"/>
  <c r="AA224" i="2"/>
  <c r="AB4" i="2"/>
  <c r="AB224" i="2" s="1"/>
  <c r="AE224" i="2"/>
  <c r="AF4" i="2"/>
  <c r="AF224" i="2" s="1"/>
  <c r="AG224" i="2"/>
  <c r="AH4" i="2"/>
  <c r="AH224" i="2" s="1"/>
  <c r="AC224" i="2"/>
  <c r="AD4" i="2"/>
  <c r="AD224" i="2" s="1"/>
  <c r="AL224" i="2" l="1"/>
  <c r="AK224" i="2"/>
  <c r="E6" i="25"/>
  <c r="E16" i="25" s="1"/>
  <c r="F30" i="26"/>
  <c r="F21" i="26"/>
  <c r="F39" i="26"/>
  <c r="F13" i="26"/>
  <c r="F33" i="26"/>
  <c r="F11" i="26"/>
  <c r="F22" i="26"/>
  <c r="F9" i="26"/>
  <c r="F45" i="26"/>
</calcChain>
</file>

<file path=xl/sharedStrings.xml><?xml version="1.0" encoding="utf-8"?>
<sst xmlns="http://schemas.openxmlformats.org/spreadsheetml/2006/main" count="4948" uniqueCount="1505">
  <si>
    <t>Приложение</t>
  </si>
  <si>
    <t>о результатах деятельности</t>
  </si>
  <si>
    <t>КОДЫ</t>
  </si>
  <si>
    <t>ИНН</t>
  </si>
  <si>
    <t>Учреждение</t>
  </si>
  <si>
    <t>Публично-правовое образование</t>
  </si>
  <si>
    <t>Периодичность: годовая</t>
  </si>
  <si>
    <t>Наименование оказываемых услуг</t>
  </si>
  <si>
    <t>Код по ОКВЭД</t>
  </si>
  <si>
    <t>Код строки</t>
  </si>
  <si>
    <t>Объем оказанных услуг</t>
  </si>
  <si>
    <t>Доход от оказания услуг, руб</t>
  </si>
  <si>
    <t>Цена (тариф)</t>
  </si>
  <si>
    <t>Справочно: реквизиты акта, которым установлена цена (тариф)</t>
  </si>
  <si>
    <t>единица измерения</t>
  </si>
  <si>
    <t>всего</t>
  </si>
  <si>
    <t>дата</t>
  </si>
  <si>
    <t>номер</t>
  </si>
  <si>
    <t>наименование</t>
  </si>
  <si>
    <t>код по ОКЕИ</t>
  </si>
  <si>
    <t>Итого</t>
  </si>
  <si>
    <t>x</t>
  </si>
  <si>
    <t>Руководитель</t>
  </si>
  <si>
    <t>(уполномоченное лицо) Учреждения</t>
  </si>
  <si>
    <t>(должность)</t>
  </si>
  <si>
    <t>(подпись)</t>
  </si>
  <si>
    <t>(расшифровка подписи)</t>
  </si>
  <si>
    <t>Исполнитель</t>
  </si>
  <si>
    <t>(телефон)</t>
  </si>
  <si>
    <t>"__" __________ 20__ г.</t>
  </si>
  <si>
    <t>Организация (предприятие)</t>
  </si>
  <si>
    <t>Сумма вложений в уставный капитал</t>
  </si>
  <si>
    <t>Доля в уставном капитале, %</t>
  </si>
  <si>
    <t>Вид вложений &lt;2&gt;</t>
  </si>
  <si>
    <t>Доходы, подлежащие получению за отчетный период</t>
  </si>
  <si>
    <t>код по ОКОПФ</t>
  </si>
  <si>
    <t>дата создания</t>
  </si>
  <si>
    <t>--------------------------------</t>
  </si>
  <si>
    <t>&lt;1&gt; Сведения формируются в случаях, если в соответствии с законодательством Российской Федерации установлена возможность создания хозяйственных товариществ и обществ.</t>
  </si>
  <si>
    <t>&lt;2&gt; Указывается вид вложений "1" - денежные средства, "2" - имущество, "3" - право пользования нематериальными активами.</t>
  </si>
  <si>
    <t>Наименование показателя</t>
  </si>
  <si>
    <t>Объем просроченной кредиторской задолженности на начало года</t>
  </si>
  <si>
    <t>Предельно допустимые значения просроченной кредиторской задолженности &lt;3&gt;</t>
  </si>
  <si>
    <t>Объем просроченной кредиторской задолженности на конец отчетного периода</t>
  </si>
  <si>
    <t>Изменение кредиторской задолженности &lt;6&gt;</t>
  </si>
  <si>
    <t>значение</t>
  </si>
  <si>
    <t>срок, дней</t>
  </si>
  <si>
    <t>в том числе по срокам</t>
  </si>
  <si>
    <t>сумма, руб</t>
  </si>
  <si>
    <t>в процентах</t>
  </si>
  <si>
    <t>в процентах &lt;5&gt;</t>
  </si>
  <si>
    <t>По выплате заработной платы</t>
  </si>
  <si>
    <t>По выплате стипендий, пособий, пенсий</t>
  </si>
  <si>
    <t>По перечислению в бюджет, всего</t>
  </si>
  <si>
    <t>в том числе:</t>
  </si>
  <si>
    <t>по перечислению удержанного налога на доходы физических лиц</t>
  </si>
  <si>
    <t>по оплате страховых взносов на обязательное социальное страхование</t>
  </si>
  <si>
    <t>по оплате налогов, сборов, за исключением страховых взносов на обязательное социальное страхование</t>
  </si>
  <si>
    <t>по возврату в бюджет средств субсидий (грантов в форме субсидий)</t>
  </si>
  <si>
    <t>из них:</t>
  </si>
  <si>
    <t>в связи с недостижением результатов предоставления субсидий (грантов в форме субсидий)</t>
  </si>
  <si>
    <t>в связи с невыполнением условий соглашений, в том числе по софинансированию расходов</t>
  </si>
  <si>
    <t>По оплате товаров, работ, услуг, всего</t>
  </si>
  <si>
    <t>по публичным договорам</t>
  </si>
  <si>
    <t>По оплате прочих расходов, всего</t>
  </si>
  <si>
    <t>по выплатам, связанным с причинением вреда гражданам</t>
  </si>
  <si>
    <t>&lt;6&gt; Указывается общая сумма увеличения или уменьшения кредиторской задолженности.</t>
  </si>
  <si>
    <t>Остаток задолженности по возмещению ущерба на начало года</t>
  </si>
  <si>
    <t>Выявлено недостач, хищений, нанесения ущерба</t>
  </si>
  <si>
    <t>Возмещено недостач, хищений, нанесения ущерба</t>
  </si>
  <si>
    <t>Списано</t>
  </si>
  <si>
    <t>Остаток задолженности по возмещению ущерба на конец отчетного периода</t>
  </si>
  <si>
    <t>из него на взыскании в службе судебных приставов</t>
  </si>
  <si>
    <t>из них взыскано с виновных лиц</t>
  </si>
  <si>
    <t>из них по решению суда</t>
  </si>
  <si>
    <t>Недостача, хищение денежных средств, всего</t>
  </si>
  <si>
    <t>в связи с хищением (кражами)</t>
  </si>
  <si>
    <t>возбуждено уголовных дел (находится в следственных органах)</t>
  </si>
  <si>
    <t>в связи с выявлением при обработке наличных денег денежных знаков, имеющих признаки подделки</t>
  </si>
  <si>
    <t>в связи с банкротством кредитной организации</t>
  </si>
  <si>
    <t>Ущерб имуществу (за исключением денежных средств)</t>
  </si>
  <si>
    <t>в связи с недостачами, включая хищения (кражи)</t>
  </si>
  <si>
    <t>в связи с нарушением правил хранения</t>
  </si>
  <si>
    <t>в связи с нанесением ущерба техническому состоянию объекта</t>
  </si>
  <si>
    <t>В связи с нарушением условий договоров (контрактов)</t>
  </si>
  <si>
    <t>в связи с нарушением сроков (начислено пени, штрафов, неустойки)</t>
  </si>
  <si>
    <t>в связи с невыполнением условий о возврате предоплаты (аванса)</t>
  </si>
  <si>
    <t>Группы персонала (категория персонала)</t>
  </si>
  <si>
    <t>Штатная численность на начало года</t>
  </si>
  <si>
    <t>Средняя численность сотрудников за отчетный период</t>
  </si>
  <si>
    <t>По договорам гражданско-правового характера &lt;9&gt;</t>
  </si>
  <si>
    <t>Штатная численность на конец отчетного периода</t>
  </si>
  <si>
    <t>установлено штатным расписанием</t>
  </si>
  <si>
    <t>всего &lt;7&gt;</t>
  </si>
  <si>
    <t>из нее</t>
  </si>
  <si>
    <t>замещено</t>
  </si>
  <si>
    <t>по основному месту работы</t>
  </si>
  <si>
    <t>по внешнему совместительству</t>
  </si>
  <si>
    <t>Основной персонал, всего &lt;12&gt;</t>
  </si>
  <si>
    <t>из них: &lt;13&gt;</t>
  </si>
  <si>
    <t>Группы персонала</t>
  </si>
  <si>
    <t>Фонд начисленной оплаты труда сотрудников за отчетный период, руб</t>
  </si>
  <si>
    <t>Начислено по договорам гражданско-правового характера, руб &lt;16&gt;</t>
  </si>
  <si>
    <t>Аналитическое распределение оплаты труда сотрудников по источникам финансового обеспечения, руб &lt;17&gt;</t>
  </si>
  <si>
    <t>по внутреннему совместительству (совмещению должностей)</t>
  </si>
  <si>
    <t>в том числе на условиях:</t>
  </si>
  <si>
    <t>за счет средств субсидии на иные цели</t>
  </si>
  <si>
    <t>за счет средств гранта в форме субсидии</t>
  </si>
  <si>
    <t>ОМС &lt;18&gt;</t>
  </si>
  <si>
    <t>полного рабочего времени</t>
  </si>
  <si>
    <t>из федерального бюджета</t>
  </si>
  <si>
    <t>Основной персонал, всего &lt;20&gt;</t>
  </si>
  <si>
    <t>ОМС</t>
  </si>
  <si>
    <t>по договорам гражданско-правового характера с сотрудниками учреждения</t>
  </si>
  <si>
    <t>по договорам гражданско-правового характера с физическими лицами, не являющимися сотрудниками учреждения</t>
  </si>
  <si>
    <t>&lt;7&gt; При расчете показателя не учитывается численность сотрудников учреждения, работающих по внутреннему совместительству (по совмещению должностей).</t>
  </si>
  <si>
    <t>&lt;8&gt; Указывается численность сотрудников учреждения, работающих по внутреннему совместительству (по совмещению должностей). При расчете общей численности сотрудников учреждения показатель не учитывается.</t>
  </si>
  <si>
    <t>&lt;9&gt; Указывается численность физических лиц, привлекаемых к оказанию услуг, выполнению работ без заключения трудового договора (на основании договоров гражданско-правового характера). Детализация численности по группам персонала указывается в соответствии с предметом договора, в зависимости от характера работ, для выполнения которых привлекается сотрудник.</t>
  </si>
  <si>
    <t>&lt;10&gt; Указывается численность физических лиц, привлекаемых к оказанию услуг, выполнению работ без заключения трудового договора (на основании договоров гражданско-правового характера), являющихся сотрудниками учреждения.</t>
  </si>
  <si>
    <t>&lt;11&gt; Указывается численность физических лиц, привлекаемых к оказанию услуг, выполнению работ без заключения трудового договора (на основании договоров гражданско-правового характера), не являющихся сотрудниками учреждения.</t>
  </si>
  <si>
    <t>&lt;12&gt; Указывается численность работников учреждения, непосредственно оказывающих услуги (выполняющих работы), направленные на достижение определенных уставом учреждения целей деятельности этого учреждения.</t>
  </si>
  <si>
    <t>&lt;14&gt; Указывается численность работников учреждения, создающих условия для оказания услуг (выполнения работ), направленных на достижение определенных уставом учреждения целей деятельности этого учреждения, включая обслуживание зданий и оборудования.</t>
  </si>
  <si>
    <t>&lt;15&gt; Указывается численность работников учреждения, занятых управлением (организацией) оказания услуг (выполнения работ), а также работников учреждения, выполняющих административные функции, необходимые для обеспечения деятельности учреждения.</t>
  </si>
  <si>
    <t>&lt;16&gt; Указывается сумма, начисленная по договорам гражданско-правового характера, заключенным с лицами, привлекаемыми для оказания услуг (выполнения работ). Детализация начисленного вознаграждения по группам персонала указывается в соответствии с предметом договора, в зависимости от характера работ, для выполнения которых привлекается сотрудник.</t>
  </si>
  <si>
    <t>&lt;18&gt; Указывается сумма начисленной оплаты труда работникам учреждения, оказывающим услуги (выполняющим работы) в рамках программ обязательного медицинского страхования.</t>
  </si>
  <si>
    <t>&lt;19&gt; Указывается сумма начисленной оплаты труда работникам учреждения, оказывающим услуги (выполняющим работы) в рамках осуществления приносящей доход деятельности.</t>
  </si>
  <si>
    <t>&lt;20&gt; Указывается сумма начисленной оплаты труда работникам учреждения, непосредственно оказывающим услуги (выполняющим работы), направленные на достижение определенных уставом учреждения целей деятельности этого учреждения.</t>
  </si>
  <si>
    <t>&lt;21&gt; Указывается сумма начисленной оплаты труда работникам учреждения, создающим условия для оказания услуг (выполнения работ), направленных на достижение определенных уставом учреждения целей деятельности этого учреждения, включая обслуживание зданий и оборудования.</t>
  </si>
  <si>
    <t>&lt;22&gt; Указывается сумма начисленной оплаты труда работникам учреждения, занятым управлением (организацией) оказания услуг (выполнения работ), а также работникам учреждения, выполняющим административные функции, необходимые для обеспечения деятельности учреждения.</t>
  </si>
  <si>
    <t>Номер счета в кредитной организации</t>
  </si>
  <si>
    <t>Вид счета &lt;23&gt;</t>
  </si>
  <si>
    <t>Реквизиты акта, в соответствии с которым открыт счет</t>
  </si>
  <si>
    <t>Остаток средств на счете на начало года &lt;24&gt;</t>
  </si>
  <si>
    <t>Остаток средств на счете на конец отчетного периода &lt;24&gt;</t>
  </si>
  <si>
    <t>вид акта</t>
  </si>
  <si>
    <t>Счета в кредитных организациях в валюте Российской Федерации</t>
  </si>
  <si>
    <t>Всего</t>
  </si>
  <si>
    <t>Счета в кредитных организациях в иностранной валюте</t>
  </si>
  <si>
    <t>Наименование объекта</t>
  </si>
  <si>
    <t>Адрес</t>
  </si>
  <si>
    <t>Код по ОКТМО</t>
  </si>
  <si>
    <t>Год постройки</t>
  </si>
  <si>
    <t>Единица измерения</t>
  </si>
  <si>
    <t>Используется учреждением</t>
  </si>
  <si>
    <t>Передано во временное пользование сторонним организациям (индивидуальным предпринимателям)</t>
  </si>
  <si>
    <t>для осуществления основной деятельности</t>
  </si>
  <si>
    <t>для иных целей</t>
  </si>
  <si>
    <t>Резервуары, емкости, иные аналогичные объекты, всего</t>
  </si>
  <si>
    <t>Скважины, иные аналогичные объекты, всего</t>
  </si>
  <si>
    <t>Иные объекты, включая точечные, всего</t>
  </si>
  <si>
    <t>Не используется</t>
  </si>
  <si>
    <t>Фактические расходы на содержание объекта недвижимого имущества (руб в год)</t>
  </si>
  <si>
    <t>в связи с аварийным состоянием</t>
  </si>
  <si>
    <t>коммунальные услуги</t>
  </si>
  <si>
    <t>услуги по содержанию имущества</t>
  </si>
  <si>
    <t>налог на имущество</t>
  </si>
  <si>
    <t>требуется ремонт</t>
  </si>
  <si>
    <t>ожидает списания</t>
  </si>
  <si>
    <t>Не используется учреждением</t>
  </si>
  <si>
    <t>Фактические расходы на содержание земельного участка</t>
  </si>
  <si>
    <t>(руб в год)</t>
  </si>
  <si>
    <t>передано во временное пользование сторонним организациям</t>
  </si>
  <si>
    <t>по иным причинам</t>
  </si>
  <si>
    <t>эксплуатационные расходы</t>
  </si>
  <si>
    <t>налог на землю</t>
  </si>
  <si>
    <t>Арендодатель (ссудодатель)</t>
  </si>
  <si>
    <t>Срок пользования</t>
  </si>
  <si>
    <t>Арендная плата</t>
  </si>
  <si>
    <t>Направление использования арендованного имущества</t>
  </si>
  <si>
    <t>код по КИСЭ</t>
  </si>
  <si>
    <t>начала</t>
  </si>
  <si>
    <t>за единицу меры (руб/мес)</t>
  </si>
  <si>
    <t>за объект (руб/год)</t>
  </si>
  <si>
    <t>Направление использования объекта недвижимого имущества</t>
  </si>
  <si>
    <t>за единицу меры (руб/час)</t>
  </si>
  <si>
    <t>за объект (руб/час)</t>
  </si>
  <si>
    <t>всего за год (руб)</t>
  </si>
  <si>
    <t>Ссудодатель</t>
  </si>
  <si>
    <t>Всего:</t>
  </si>
  <si>
    <t>Наименование показателя (группа основных средств)</t>
  </si>
  <si>
    <t>Наличие движимого имущества на конец отчетного периода</t>
  </si>
  <si>
    <t>передано в пользование</t>
  </si>
  <si>
    <t>не используется</t>
  </si>
  <si>
    <t>требует ремонта</t>
  </si>
  <si>
    <t>физически и морально изношено, ожидает согласования, списания</t>
  </si>
  <si>
    <t>в аренду</t>
  </si>
  <si>
    <t>из них требует замены</t>
  </si>
  <si>
    <t>Нежилые помещения, здания и сооружения, не отнесенные к недвижимому имуществу</t>
  </si>
  <si>
    <t>для основной деятельности</t>
  </si>
  <si>
    <t>для иной деятельности</t>
  </si>
  <si>
    <t>Машины и оборудование</t>
  </si>
  <si>
    <t>Хозяйственный и производственный инвентарь, всего</t>
  </si>
  <si>
    <t>Прочие основные средства, всего</t>
  </si>
  <si>
    <t>от 121 месяца и более</t>
  </si>
  <si>
    <t>от 85 до 120 месяцев</t>
  </si>
  <si>
    <t>от 61 до 84 месяцев</t>
  </si>
  <si>
    <t>от 37 до 60 месяцев</t>
  </si>
  <si>
    <t>от 13 до 36 месяцев</t>
  </si>
  <si>
    <t>менее 12 месяцев</t>
  </si>
  <si>
    <t>Остаточная стоимость объектов особо ценного движимого имущества, в том числе с оставшимся сроком полезного использования</t>
  </si>
  <si>
    <t>от 12 до 24 месяцев</t>
  </si>
  <si>
    <t>от 25 до 36 месяцев</t>
  </si>
  <si>
    <t>от 37 до 48 месяцев</t>
  </si>
  <si>
    <t>от 49 до 60 месяцев</t>
  </si>
  <si>
    <t>от 61 до 72 месяцев</t>
  </si>
  <si>
    <t>от 73 до 84 месяцев</t>
  </si>
  <si>
    <t>от 85 до 96 месяцев</t>
  </si>
  <si>
    <t>от 97 до 108 месяцев</t>
  </si>
  <si>
    <t>от 109 до 120 месяцев</t>
  </si>
  <si>
    <t>Хозяйственный и производственный инвентарь</t>
  </si>
  <si>
    <t>Прочие основные средства</t>
  </si>
  <si>
    <t>Всего за отчетный период</t>
  </si>
  <si>
    <t>Расходы на содержание особо ценного движимого имущества</t>
  </si>
  <si>
    <t>на текущее обслуживание</t>
  </si>
  <si>
    <t>на уплату налогов</t>
  </si>
  <si>
    <t>заработная плата обслуживающего персонала</t>
  </si>
  <si>
    <t>иные расходы</t>
  </si>
  <si>
    <t>Транспортные средства, ед</t>
  </si>
  <si>
    <t>в оперативном управлении учреждения</t>
  </si>
  <si>
    <t>по договорам аренды</t>
  </si>
  <si>
    <t>по договорам безвозмездного пользования</t>
  </si>
  <si>
    <t>на отчетную дату</t>
  </si>
  <si>
    <t>в среднем за год</t>
  </si>
  <si>
    <t>Наземные транспортные средства</t>
  </si>
  <si>
    <t>автомобили легковые (за исключением автомобилей скорой медицинской помощи), всего</t>
  </si>
  <si>
    <t>автомобили скорой медицинской помощи</t>
  </si>
  <si>
    <t>автомобили грузовые, за исключением специальных</t>
  </si>
  <si>
    <t>специальные грузовые автомашины (молоковозы, скотовозы, специальные машины для перевозки птицы, машины для перевозки минеральных удобрений, ветеринарной помощи, технического обслуживания)</t>
  </si>
  <si>
    <t>автобусы</t>
  </si>
  <si>
    <t>тракторы самоходные комбайны</t>
  </si>
  <si>
    <t>мотосани, снегоходы</t>
  </si>
  <si>
    <t>прочие самоходные машины и механизмы на пневматическом и гусеничном ходу</t>
  </si>
  <si>
    <t>мотоциклы, мотороллеры</t>
  </si>
  <si>
    <t>Воздушные судна</t>
  </si>
  <si>
    <t>самолеты, всего</t>
  </si>
  <si>
    <t>вертолеты, всего</t>
  </si>
  <si>
    <t>Водные транспортные средства</t>
  </si>
  <si>
    <t>суда пассажирские морские и речные</t>
  </si>
  <si>
    <t>суда грузовые морские и речные самоходные</t>
  </si>
  <si>
    <t>яхты</t>
  </si>
  <si>
    <t>катера</t>
  </si>
  <si>
    <t>гидроциклы</t>
  </si>
  <si>
    <t>моторные лодки</t>
  </si>
  <si>
    <t>парусно-моторные суда</t>
  </si>
  <si>
    <t>другие водные транспортные средства самоходные</t>
  </si>
  <si>
    <t>несамоходные (буксируемые) суда и иные транспортные средства (водные транспортные средства, не имеющие двигателей)</t>
  </si>
  <si>
    <t>Транспортные средства, непосредственно используемые в целях оказания услуг, выполнения работ</t>
  </si>
  <si>
    <t>Транспортные средства, используемые в общехозяйственных целях</t>
  </si>
  <si>
    <t>в целях обслуживания административно-управленческого персонала</t>
  </si>
  <si>
    <t>в иных целях &lt;32&gt;</t>
  </si>
  <si>
    <t>в оперативном управлении учреждения, ед.</t>
  </si>
  <si>
    <t>по договорам аренды, ед.</t>
  </si>
  <si>
    <t>по договорам безвозмездного пользования, ед.</t>
  </si>
  <si>
    <t>тракторы самоходные, комбайны</t>
  </si>
  <si>
    <t>всего за отчетный период</t>
  </si>
  <si>
    <t>на обслуживание транспортных средств</t>
  </si>
  <si>
    <t>содержание гаражей</t>
  </si>
  <si>
    <t>расходы на ОСАГО</t>
  </si>
  <si>
    <t>водителей</t>
  </si>
  <si>
    <t>&lt;32&gt; Указываются транспортные средства, используемые в целях уборки территории, вывоза мусора, перевозки имущества (грузов), а также в целях перевозки людей.</t>
  </si>
  <si>
    <t>муниципального учреждения</t>
  </si>
  <si>
    <t>в связи с невыполнением муниципального задания</t>
  </si>
  <si>
    <t>для оказания услуг (выполнения работ) в рамках утвержденного муниципального задания</t>
  </si>
  <si>
    <t>СОГЛАСОВАНО:</t>
  </si>
  <si>
    <t>"____" ___________________ 20___ г.</t>
  </si>
  <si>
    <t>ОТЧЕТ</t>
  </si>
  <si>
    <t>Раздел 1 "Результаты деятельности"</t>
  </si>
  <si>
    <t>УТВЕРЖДАЮ:</t>
  </si>
  <si>
    <t>Протокол от___________________ №___ *</t>
  </si>
  <si>
    <t>** год, следующий за отчетным</t>
  </si>
  <si>
    <t>* реквизиты протокола наблюдательного совета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</si>
  <si>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</si>
  <si>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</si>
  <si>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объема муниципальной услуги</t>
  </si>
  <si>
    <t>единица измерения по ОКЕИ</t>
  </si>
  <si>
    <t>код</t>
  </si>
  <si>
    <t>Средний размер платы (цена, тариф)</t>
  </si>
  <si>
    <t>Наименование муниципальной работы</t>
  </si>
  <si>
    <t>Показатель, характеризующий содержание муниципальной работы</t>
  </si>
  <si>
    <t>Показатель, характеризующий условия (формы) оказания муниципальной работы</t>
  </si>
  <si>
    <t>Показатель объема муниципальной работы</t>
  </si>
  <si>
    <t>Наименование выполняемых работ</t>
  </si>
  <si>
    <t>Объем выполненных работ</t>
  </si>
  <si>
    <t>Наименование производимой продукции</t>
  </si>
  <si>
    <t>Объем произведенной продукции</t>
  </si>
  <si>
    <t>и обществ, или дивидендов по акциям, принадлежащих учреждению &lt;1&gt;</t>
  </si>
  <si>
    <t>Раздел 2 "Использование имущества, закрепленного за учреждением"</t>
  </si>
  <si>
    <t>(для автономного учреждения)</t>
  </si>
  <si>
    <t>(подпись, ФИО, руководителя учреждения)</t>
  </si>
  <si>
    <t>1.1 Отчет о выполнении муниципального задания на оказание муниципальных услуг (выполнение работ)</t>
  </si>
  <si>
    <t>1.1.1 Отчет о выполнении муниципального задания на оказание муниципальных услуг</t>
  </si>
  <si>
    <t>1.1.2 Отчет о выполнении муниципального задания на выполнение муниципальных работ</t>
  </si>
  <si>
    <t>2.3.1 Сведения о недвижимом имуществе, используемом на праве аренды с помесячной оплатой</t>
  </si>
  <si>
    <t>2.4.1 Сведения о наличии, состоянии и использовании особо ценного движимого имущества</t>
  </si>
  <si>
    <t>2.4.2 Сведения о расходах на содержание особо ценного движимого имущества</t>
  </si>
  <si>
    <t>2.5 Сведения о транспортных средствах</t>
  </si>
  <si>
    <t>2.5.1 Сведения об используемых транспортных средствах</t>
  </si>
  <si>
    <t>2.5.3 Направления использования транспортных средств</t>
  </si>
  <si>
    <t>2.5.4 Сведения о расходах на содержание транспортных средств</t>
  </si>
  <si>
    <t>х</t>
  </si>
  <si>
    <t>Площадь</t>
  </si>
  <si>
    <t>Год выпуска</t>
  </si>
  <si>
    <t>Марка, модель</t>
  </si>
  <si>
    <t>(подпись, ФИО, начальник отдела управления</t>
  </si>
  <si>
    <t>имуществом казны департамента муниципального</t>
  </si>
  <si>
    <t>имущества и земельных отношений</t>
  </si>
  <si>
    <t>кем издан</t>
  </si>
  <si>
    <t>Наличие особо ценного движимого имущества на конец отчетного периода</t>
  </si>
  <si>
    <t>2.4.3 Сведения об ином движимом имуществе</t>
  </si>
  <si>
    <r>
      <t xml:space="preserve">Остаточная стоимость объектов </t>
    </r>
    <r>
      <rPr>
        <strike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иного движимого имущества, в том числе с оставшимся сроком полезного использования</t>
    </r>
  </si>
  <si>
    <t xml:space="preserve">&lt;17&gt; Показатели аналитического распределения оплаты труда сотрудников по источникам финансового обеспечения формируются в случае, если требование о детализации установлено Уполномоченным органом.
</t>
  </si>
  <si>
    <t>&lt;13&gt; Детализация показателей по группе (категории) персонала устанавливается порядком Уполномоченного органа.</t>
  </si>
  <si>
    <t>&lt;3&gt; Указываются предельно допустимые значения, установленные Уполномоченным органом.</t>
  </si>
  <si>
    <t>&lt;4&gt; Заполняется в случае, если значения просроченной кредиторской задолженности установлены Уполномоченным органом, в абсолютных значениях (рублях).</t>
  </si>
  <si>
    <t>&lt;5&gt; Заполняется в случае, если значения просроченной кредиторской задолженности установлены Уполномоченным органом, в процентах от общей суммы кредиторской задолженности.</t>
  </si>
  <si>
    <t>Тип учреждения</t>
  </si>
  <si>
    <t>и об использовании закрепленного за ним муниципального имущества</t>
  </si>
  <si>
    <t>о результатах деятельности муниципального учреждения города Красноярска</t>
  </si>
  <si>
    <t>(казенное - "01", бюджетное - "02", автономное - "03")</t>
  </si>
  <si>
    <t xml:space="preserve">Дата  </t>
  </si>
  <si>
    <t xml:space="preserve">ИНН  </t>
  </si>
  <si>
    <t xml:space="preserve">КПП  </t>
  </si>
  <si>
    <t xml:space="preserve">по Сводному реестру  </t>
  </si>
  <si>
    <t xml:space="preserve">по БК  </t>
  </si>
  <si>
    <t xml:space="preserve">по ОКТМО  </t>
  </si>
  <si>
    <t>Уполномоченный орган</t>
  </si>
  <si>
    <t>Площадные объекты &lt;26&gt;, всего</t>
  </si>
  <si>
    <t>Линейные объекты &lt;27&gt;, всего</t>
  </si>
  <si>
    <t>Фактический срок использования &lt;30&gt;</t>
  </si>
  <si>
    <t>&lt;30&gt; Срок использования имущества считается начиная с 1-го числа месяца, следующего за месяцем принятия его к бухгалтерскому учету.</t>
  </si>
  <si>
    <r>
      <t xml:space="preserve">&lt;31&gt; Указываются транспортные средства, в отношении которых принято решение о списании, ожидается согласование </t>
    </r>
    <r>
      <rPr>
        <strike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Уполномоченным органом.</t>
    </r>
  </si>
  <si>
    <t>Адрес &lt;33&gt;</t>
  </si>
  <si>
    <t>Вид объекта &lt;34&gt;</t>
  </si>
  <si>
    <t>&lt;33&gt; Заполняется в отношении недвижимого имущества.</t>
  </si>
  <si>
    <t>&lt;34&gt; Указывается вид объекта: 1 - здание (строение, сооружение) в целом, 2 - помещение в здании, строении (за исключением подвалов, чердаков), 3 - подвалы, чердаки, 4 - конструктивная часть здания (крыша, стена), 5 - архитектурный элемент фасада здания (навес над входными дверями зданий), 6 - часть помещения в местах общего пользования (вестибюли, холлы, фойе, коридоры), 7 - линии электропередачи, линии связи (в том числе линейно-кабельные сооружения), 8 - трубопроводы, 9 - автомобильные дороги, 10 - железнодорожные линии, 11 - резервуар, иная емкость, 12 - скважины на воду, 13 - скважины назовые и нефтяные, 14 - скважины иные, 15 - движимое имущество, предоставляемое в прокат, 16 - иные.</t>
  </si>
  <si>
    <t>&lt;35&gt; Указывается направление использования имущества, переданного в аренду (разрешенное использование): 1 - размещение банкоматов, 2 - размещение торговых автоматов для продажи воды, кофе и кондитерских изделий, 3 - размещение столовых и буфетов, 4 - размещение книжных киосков, магазинов канцелярских принадлежностей, 5 - размещение аптечных пунктов, 6 - размещение торговых автоматов для продажи бахил, одноразовых халатов, 7 - размещение платежных терминалов, 8 - размещение иных торговых точек, 9 - размещение офисов банков, 10 - проведение образовательных и информационно-просветительских мероприятий, 11 - проведение концертно-зрелищных мероприятий, 12 - проведение ярмарок, выставок, 13 - проведение конгрессов, съездов, симпозиумов, конференций, 14 - проведение спортивных мероприятий, 15 - проведение иных культурно-массовых мероприятий, 16 - прокат оборудования, 17 - прокат спортивного инвентаря, 18 - иное.</t>
  </si>
  <si>
    <t>&lt;36&gt; В случае указания в графе 8 значения "18 - иное", указывается направление использования переданного в аренду имущества.</t>
  </si>
  <si>
    <t>наимено-вание</t>
  </si>
  <si>
    <t>утвер-ждено в муници-пальном задании на год</t>
  </si>
  <si>
    <t>исполне-но на отчетную дату</t>
  </si>
  <si>
    <t>допусти-мое (возмож-ное) отклоне-ние</t>
  </si>
  <si>
    <t>отклоне-ние, превыша-ющее допусти-мое (возмож-ное) значение</t>
  </si>
  <si>
    <t>причина отклоне-ния</t>
  </si>
  <si>
    <t>наимено-вание показате-ля</t>
  </si>
  <si>
    <t>основной вид деятель-ности</t>
  </si>
  <si>
    <t>Задол-женность перед учрежде-нием по перечис-лению части прибыли (дивиден-дов) на начало года</t>
  </si>
  <si>
    <t>начисле-но, руб</t>
  </si>
  <si>
    <t>поступи-ло, руб</t>
  </si>
  <si>
    <t>Задол-женность перед учрежде-нием по перечис-лению части прибыли (дивиден-дов) на конец отчетного периода</t>
  </si>
  <si>
    <t>из нее по исполни-тельным листам</t>
  </si>
  <si>
    <t>в абсолют-ных величинах &lt;4&gt;</t>
  </si>
  <si>
    <t>менее 30 дней просроч-ки</t>
  </si>
  <si>
    <t>от 30 до 90 дней просроч-ки</t>
  </si>
  <si>
    <t>от 90 до 180 дней просроч-ки</t>
  </si>
  <si>
    <t>более 180 дней просроч-ки</t>
  </si>
  <si>
    <t>Причина образова-ния</t>
  </si>
  <si>
    <t>Меры, принима-емые по погаше-нию просрочен-ной кредитор-ской задолжен-ности</t>
  </si>
  <si>
    <t>виновные лица установ-лены</t>
  </si>
  <si>
    <t>виновные лица не установ-лены</t>
  </si>
  <si>
    <t>страхо-выми организа-циями</t>
  </si>
  <si>
    <t>из них в связи с прекраще-нием взыскания по исполни-тельным листам</t>
  </si>
  <si>
    <t>по основным видам деятель-ности</t>
  </si>
  <si>
    <t>вакантных должнос-тей</t>
  </si>
  <si>
    <t>по внутрен-нему совмести-тельству (по совмеще-нию должнос-тей) &lt;8&gt;</t>
  </si>
  <si>
    <t>по внешнему совмести-тельству</t>
  </si>
  <si>
    <t>сотрудни-ки учрежде-ния &lt;10&gt;</t>
  </si>
  <si>
    <t>физичес-кие лица, не являю-щиеся сотрудни-ками учрежде-ния &lt;11&gt;</t>
  </si>
  <si>
    <t>Вспомогатель-ный персонал, всего &lt;14&gt;</t>
  </si>
  <si>
    <t>Административ-но-управленчес-кий персонал, всего &lt;15&gt;</t>
  </si>
  <si>
    <t>неполно-го рабочего времени</t>
  </si>
  <si>
    <t>по внутрен-нему совмести-тельству (совмеще-нию должнос-тей)</t>
  </si>
  <si>
    <t>по внешнему совмес-титель-ству</t>
  </si>
  <si>
    <t>сотрудни-кам учрежде-ния</t>
  </si>
  <si>
    <t>физичес-ким лицам, не являющи-мися сотрудни-ками учрежде-ния</t>
  </si>
  <si>
    <t>за счет средств субсидии на выполне-ние муници-пального задания</t>
  </si>
  <si>
    <t>из федераль-ного бюджета</t>
  </si>
  <si>
    <t>из бюдже-тов субъек-тов Россий-ской Федера-ции и местных бюдже-тов</t>
  </si>
  <si>
    <t>за счет средств от принося-щей доход деятель-ности &lt;19&gt;</t>
  </si>
  <si>
    <t>Вспомогатель-ный персонал, всего &lt;21&gt;</t>
  </si>
  <si>
    <t>Административ-но-управленчес-кий персонал, всего &lt;22&gt;</t>
  </si>
  <si>
    <t>за счет средств субси-дии на выпол-нение муници-пально-го задания</t>
  </si>
  <si>
    <t>за счет средств от принося-щей доход деятель-ности</t>
  </si>
  <si>
    <t>за счет средств субси-дии на выполне-ние муници-пально-го задания</t>
  </si>
  <si>
    <t>Реестро-вый номер</t>
  </si>
  <si>
    <t>Кадастро-вый номер</t>
  </si>
  <si>
    <t>Уникаль-ный код объекта &lt;25&gt;</t>
  </si>
  <si>
    <t xml:space="preserve">Площадь/протяжен-ность </t>
  </si>
  <si>
    <t>Балансо-вая стои-мость</t>
  </si>
  <si>
    <t>Остаточ-ная стои-мость</t>
  </si>
  <si>
    <t>Сведения о государ-ственой регистра-ции права оператив-ного управле-ния</t>
  </si>
  <si>
    <t>в рамках муници-пального задания</t>
  </si>
  <si>
    <t>за плату сверх муници-пального задания</t>
  </si>
  <si>
    <t>на основании догово-ров аренды</t>
  </si>
  <si>
    <t>на основании догово-ров безвоз-мездного пользова-ния</t>
  </si>
  <si>
    <t>без оформле-ния права пользова-ния (с почасо-вой оплатой)</t>
  </si>
  <si>
    <t>Наимено-вание показате-ля</t>
  </si>
  <si>
    <t>Кадаст-ровый номер</t>
  </si>
  <si>
    <t>Сведения о государст-венной регистра-ции права постоян-ного (бессроч-ного) пользова-ния</t>
  </si>
  <si>
    <t>Справоч-но: использу-ется по соглаше-ниям об установле-нии сервитута</t>
  </si>
  <si>
    <t>без оформле-ния права пользова-ния</t>
  </si>
  <si>
    <t>из них возме-щается пользова-телями имущест-ва</t>
  </si>
  <si>
    <t>Сведения о государ-ственной регистра-ции права аренды</t>
  </si>
  <si>
    <t>из них возмеща-ется пользова-телями имущест-ва</t>
  </si>
  <si>
    <t>Количес-тво арендуе-мого имущест-ва</t>
  </si>
  <si>
    <t>оконча-ния</t>
  </si>
  <si>
    <t>Фактичес-кие расходы на содержа-ние арендован-ного имущест-ва (руб/год)</t>
  </si>
  <si>
    <t>для осуществ-ления основной деятель-ности &lt;28&gt;</t>
  </si>
  <si>
    <t>для осуществ-ления иной деятель-ности &lt;29&gt;</t>
  </si>
  <si>
    <t>Обосно-вание заключе-ния договора аренды</t>
  </si>
  <si>
    <t>Количест-во аренду-емого имущест-ва</t>
  </si>
  <si>
    <t>Длитель-ность использо-вания (час)</t>
  </si>
  <si>
    <t>Фактичес-кие расходы на содержа-ние объекта недвижи-мого имущест-ва (руб/год)</t>
  </si>
  <si>
    <t>для осуществления основной деятель-ности &lt;28&gt;</t>
  </si>
  <si>
    <t>для осуществления иной деятель-ности &lt;29&gt;</t>
  </si>
  <si>
    <t>Обоснова-ние заключе-ния договора аренды</t>
  </si>
  <si>
    <t>Количес-тво имущест-ва</t>
  </si>
  <si>
    <t>Обоснова-ние заключе-ния договора ссуды</t>
  </si>
  <si>
    <t>Ресстро-вый номер (при наличии)</t>
  </si>
  <si>
    <t>Инвентар-ный номер</t>
  </si>
  <si>
    <t>Основа-ние отнесения к особо ценному движи-мому имущест-ву</t>
  </si>
  <si>
    <t>использу-ется учрежде-нием</t>
  </si>
  <si>
    <t>безвоз-мездно</t>
  </si>
  <si>
    <t>количест-во, ед</t>
  </si>
  <si>
    <t>балансо-вая стои-мость, руб</t>
  </si>
  <si>
    <t>расходы на периоди-ческое техничес-кое (профилак-тическое) обслужи-вание</t>
  </si>
  <si>
    <t>расходы на текущий ремонт, включая приобре-тение запасных частей</t>
  </si>
  <si>
    <t>расходы на обязатель-ное страхова-ние</t>
  </si>
  <si>
    <t>расходы на добро-вольное страхова-ние</t>
  </si>
  <si>
    <t>капиталь-ный ремонт, включая приобрете-ние запасных частей</t>
  </si>
  <si>
    <t>заработ-ная плата обслужи-вающего персонала</t>
  </si>
  <si>
    <t>Государ-ственный регистра-ционный номер</t>
  </si>
  <si>
    <t>Иденти-фикацион-ный номер (VIN)</t>
  </si>
  <si>
    <t>Номера агрегатов (двига-тель, кузов, шасси)</t>
  </si>
  <si>
    <t>Основа-ние отнесения к особо ценному движимо-му имущест-ву</t>
  </si>
  <si>
    <t>проводит-ся капиталь-ный ремонт и/или рекон-струкция</t>
  </si>
  <si>
    <t>в связи с аварий-ным состоя-нием (требует-ся ремонт)</t>
  </si>
  <si>
    <t>в связи с аварий-ным состоя-нием (подле-жит списа-нию) &lt;31&gt;</t>
  </si>
  <si>
    <t>излишнее имущест-во (подле-жит передаче в казну города)</t>
  </si>
  <si>
    <t>расходы на горюче-смазоч-ные материа-лы</t>
  </si>
  <si>
    <t>приобре-тение (замена) колес, шин, дисков</t>
  </si>
  <si>
    <t>ремонт, включая приобре-тение запасных частей</t>
  </si>
  <si>
    <t>техобслу-живание сторон-ними организа-циями</t>
  </si>
  <si>
    <t>аренда гаражей, парковоч-ных мест</t>
  </si>
  <si>
    <t>содержа-ние гаражей</t>
  </si>
  <si>
    <t>обслужи-вающего персонала гаражей</t>
  </si>
  <si>
    <t>админис-тратив-ного персонала гаражей</t>
  </si>
  <si>
    <t>уплата транспорт-ного налога</t>
  </si>
  <si>
    <t>наименова-ние</t>
  </si>
  <si>
    <t>Объем передан-ного имущест-ва</t>
  </si>
  <si>
    <t>Направление использо-вания &lt;35&gt;</t>
  </si>
  <si>
    <t>Коммен-тарий &lt;36&gt;</t>
  </si>
  <si>
    <t>к Порядку составления</t>
  </si>
  <si>
    <t xml:space="preserve">и об использовании закрепленного </t>
  </si>
  <si>
    <t>и утверждения отчета</t>
  </si>
  <si>
    <t>за ним муниципального имущества</t>
  </si>
  <si>
    <t xml:space="preserve"> </t>
  </si>
  <si>
    <t>Предоставление информационной и консультационной  поддержки субъектам малого и среднего предпринимательства</t>
  </si>
  <si>
    <t>Правовая экспертиза документов, подготовка учредительных документов и изменений  к ним; подготовка отчетности и иных документов для предпринимателей в налоговые и прочие органы, предоставление консультаций и информационной поддержки</t>
  </si>
  <si>
    <t>Единица</t>
  </si>
  <si>
    <t>0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</si>
  <si>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а также на развитие гражданской активности молодежи и формирование здорового образа жизни</t>
  </si>
  <si>
    <t>Количество мероприятий</t>
  </si>
  <si>
    <t>Оказание услуг по разработке бизнес-планов, концепций, технико-экономических обоснований, инвестиционных проектов, реализуемых на территории субъекта Российской Федерации</t>
  </si>
  <si>
    <t>Ведение информационных ресурсов и баз данных</t>
  </si>
  <si>
    <t>формирование и размещение на информационных ресурсах, включая официальные группы в социальных сетях, информационных материалов, освещающих деятельность в сфере поддержки малого и среднего предпринимательства в городе Красноярске, в том числе реализации молодежных инициатив</t>
  </si>
  <si>
    <t>Количество информационных ресурсов и баз данных</t>
  </si>
  <si>
    <t>Организация и проведение культурно-массовых мероприятий</t>
  </si>
  <si>
    <t>Организация и проведение методических мероприятий (семинар, конференция)</t>
  </si>
  <si>
    <t>Организация и проведение публичных лекций</t>
  </si>
  <si>
    <t>Количество проведенных мероприятий</t>
  </si>
  <si>
    <t>Формирование информационного сайта в сети Интернет, размещение на сайте и других информационных ресурсах, включая официальные группы в социальных сетях, информационных материалов, освещающих деятельность социально ориентированных некоммерческих организаций в городе Красноярске, а также деятельность органов местного самоуправления по вопросам вовлечения граждан в процесс общественного участия в социальной сфере</t>
  </si>
  <si>
    <t xml:space="preserve">Наименование муниципальной услуги </t>
  </si>
  <si>
    <t>наименование показателя</t>
  </si>
  <si>
    <t>администрация города Красноярска</t>
  </si>
  <si>
    <t>Дистанционная регистрация ИП</t>
  </si>
  <si>
    <t>Дистанционная регистрация ООО (с одним участником)</t>
  </si>
  <si>
    <t>Мониторинг социальных проектов</t>
  </si>
  <si>
    <t>Услуга по предоставлению конференц-зала площадью 39,6 кв.м</t>
  </si>
  <si>
    <t>Услуга по предоставлению презентационного оборудования</t>
  </si>
  <si>
    <t>Счет</t>
  </si>
  <si>
    <t>Балансовая стоимость</t>
  </si>
  <si>
    <t>Кол-во</t>
  </si>
  <si>
    <t>Сумма амортизации</t>
  </si>
  <si>
    <t>Остаточная стоимость</t>
  </si>
  <si>
    <t>КФО</t>
  </si>
  <si>
    <t>КПС</t>
  </si>
  <si>
    <t>МОЛ</t>
  </si>
  <si>
    <t>№ п/п</t>
  </si>
  <si>
    <t>ОС</t>
  </si>
  <si>
    <t>Инвентарный номер</t>
  </si>
  <si>
    <t>ОКОФ</t>
  </si>
  <si>
    <t>Амортизационная группа</t>
  </si>
  <si>
    <t>Способ начисления амортизации</t>
  </si>
  <si>
    <t>Дата принятия к учету</t>
  </si>
  <si>
    <t>Состояние</t>
  </si>
  <si>
    <t>Мес. норма износа, %</t>
  </si>
  <si>
    <t>Срок полезного использо вания (мес.)</t>
  </si>
  <si>
    <t>Износ, %</t>
  </si>
  <si>
    <t>101.12 "Нежилые помещения (здания и сооружения) – недвижимое имущество учреждения"</t>
  </si>
  <si>
    <t>4 (Субсидии на выполнение государственного (муниципального) задания)</t>
  </si>
  <si>
    <t>04120000000000000</t>
  </si>
  <si>
    <t>Боргояков Павел Михайлович</t>
  </si>
  <si>
    <t>ул. Никитина, 3б, пом.77</t>
  </si>
  <si>
    <t xml:space="preserve">00000000000000000052          </t>
  </si>
  <si>
    <t>11 0001190</t>
  </si>
  <si>
    <t>Линейный</t>
  </si>
  <si>
    <t>06.04.2010</t>
  </si>
  <si>
    <t>Введено в эксплуатацию</t>
  </si>
  <si>
    <t>04120000000000244</t>
  </si>
  <si>
    <t>Никулина  Наталья Евгеньевна</t>
  </si>
  <si>
    <t>Нежилое помещение № 84, по адресу: ул. Коммунальная,26</t>
  </si>
  <si>
    <t xml:space="preserve">00000000000000000792          </t>
  </si>
  <si>
    <t>210.00.00.00</t>
  </si>
  <si>
    <t>29.09.2022</t>
  </si>
  <si>
    <t>101.24 "Машины и оборудование – особо ценное движимое имущество учреждения"</t>
  </si>
  <si>
    <t>Сервер</t>
  </si>
  <si>
    <t xml:space="preserve">00000000000000000184          </t>
  </si>
  <si>
    <t>14 3020545</t>
  </si>
  <si>
    <t>31.12.2010</t>
  </si>
  <si>
    <t>101.25 "Транспортные средства – особо ценное движимое имущество учреждения"</t>
  </si>
  <si>
    <t>2 (Приносящая доход деятельность (собственные доходы учреждения))</t>
  </si>
  <si>
    <t>Демиденок Сергей Иванович</t>
  </si>
  <si>
    <t>Автомобиль легковой, HYUNDAI ELANTRA, VIN XWELN41BBM0001993</t>
  </si>
  <si>
    <t xml:space="preserve">00000000000000000604          </t>
  </si>
  <si>
    <t>310.29.10.2</t>
  </si>
  <si>
    <t>17.12.2021</t>
  </si>
  <si>
    <t>101.28 "Прочие основные средства – особо ценное движимое имущество учреждения"</t>
  </si>
  <si>
    <t>Презентационный комплект</t>
  </si>
  <si>
    <t xml:space="preserve">00000000000000000493          </t>
  </si>
  <si>
    <t>14 3020360</t>
  </si>
  <si>
    <t>26.12.2011</t>
  </si>
  <si>
    <t>101.34 "Машины и оборудование – иное движимое имущество учреждения"</t>
  </si>
  <si>
    <t>МФУ Canon i-SENSYS MF4430 (Принтер/Копир/Сканер: А4 23ppm)</t>
  </si>
  <si>
    <t xml:space="preserve">00000000000000000506          </t>
  </si>
  <si>
    <t>100 % при вводе в эксплуатацию</t>
  </si>
  <si>
    <t>28.02.2013</t>
  </si>
  <si>
    <t>Моноблок ACER Aspire C24-420, 23.8", AMD Ryzen 3 325OU, 8ГБ, 256ГБ SSD, AMD Radeon Graphics, Windows 10, серебристый</t>
  </si>
  <si>
    <t xml:space="preserve">00000000000000000605          </t>
  </si>
  <si>
    <t>320.26.20.11.110</t>
  </si>
  <si>
    <t>12.11.2021</t>
  </si>
  <si>
    <t xml:space="preserve">Моноблок Lenovo Centre 3 24ALC 6, 23,8", AMD Ryzen 5 5500U, 8ГБ, 256ГБ SSD, AMD </t>
  </si>
  <si>
    <t>00000000000000000726</t>
  </si>
  <si>
    <t xml:space="preserve">320.26.20.13    </t>
  </si>
  <si>
    <t>22.02.2022</t>
  </si>
  <si>
    <t>00000000000000000722</t>
  </si>
  <si>
    <t>00000000000000000723</t>
  </si>
  <si>
    <t>00000000000000000724</t>
  </si>
  <si>
    <t>00000000000000000725</t>
  </si>
  <si>
    <t>Компьютер в сборе. В составе: монитор DELL S2421 HN 23.8", черный и серебристый (2421-9336)- 1 шт.; комплект (клавиатура+мышь) LENOVO 300U, проводной, черный (gx30m 39635) - 1 шт.; компьютер ПК iRU City 101 в составе INTEL Core i5 11500/ASUS Prime</t>
  </si>
  <si>
    <t xml:space="preserve">00000000000000000721          </t>
  </si>
  <si>
    <t>Моноблок Acer Aspire C24-1650, 23.8",Intel Core i5 1135G7, 8ГБ, 512ГБ SSD, Intel</t>
  </si>
  <si>
    <t xml:space="preserve">00000000000000000795          </t>
  </si>
  <si>
    <t>320.26.20.13</t>
  </si>
  <si>
    <t>01.11.2022</t>
  </si>
  <si>
    <t>-</t>
  </si>
  <si>
    <t xml:space="preserve">Ноутбук MSI GF63 Thin 11UC-622RU, 15.6", IPS,Intel Core i5 11400H 2.7ГГц, 16ГБ, </t>
  </si>
  <si>
    <t xml:space="preserve">00000000000000000794          </t>
  </si>
  <si>
    <t>МФУ НР LaserJet pro M1536dnf (CE538A) RU  ACB (запасной картридж в комплекте)</t>
  </si>
  <si>
    <t>00000000000000000511</t>
  </si>
  <si>
    <t>07.07.2014</t>
  </si>
  <si>
    <t>00000000000000000512</t>
  </si>
  <si>
    <t>00000000000000000513</t>
  </si>
  <si>
    <t>00000000000000000510</t>
  </si>
  <si>
    <t>Портативный компьютер Apple iPad Wi-Fi 64  GB-SUN</t>
  </si>
  <si>
    <t xml:space="preserve">00000000000000000180          </t>
  </si>
  <si>
    <t>14 3020209</t>
  </si>
  <si>
    <t>06.12.2010</t>
  </si>
  <si>
    <t xml:space="preserve">00000000000000000181          </t>
  </si>
  <si>
    <t>МФУ WC3210 (принтер/копир/сканер/факс Scan-to-Network, A4, 24стр/мин, 128Мб, PCL6, USB</t>
  </si>
  <si>
    <t>00000000000000000431</t>
  </si>
  <si>
    <t>16.11.2011</t>
  </si>
  <si>
    <t>Тумба для оргтехники 770*600*680 арт. ТМ-1</t>
  </si>
  <si>
    <t xml:space="preserve">00000000000000000433          </t>
  </si>
  <si>
    <t>23.11.2011</t>
  </si>
  <si>
    <t>Шкаф с закр.дверьми арт.СТ1-9</t>
  </si>
  <si>
    <t xml:space="preserve">00000000000000000434          </t>
  </si>
  <si>
    <t>Принтер А4 Canon LBP-3010B (14 стр. в мин./первая стр. за 10 сек./рек. 5000)</t>
  </si>
  <si>
    <t xml:space="preserve">00000000000000000173          </t>
  </si>
  <si>
    <t>03.09.2010</t>
  </si>
  <si>
    <t>Моноблок Aspire Z5761 23" Intel Core i7 2600s/6GB/1 TB/GT 530_2GB/BD-Combo+CR, TV тюнер</t>
  </si>
  <si>
    <t xml:space="preserve">00000000000000000439          </t>
  </si>
  <si>
    <t>15.12.2011</t>
  </si>
  <si>
    <t>Компьютер 0301 Серия Оптимум 2100S Intel/Core i3 2100/2048Mb DDR3/HDD 500Gb/Intel HD2000/DVDRW/Case Velton 7062 450W/ПО Windows 7 Pro 32-bit</t>
  </si>
  <si>
    <t>00000000000000000443</t>
  </si>
  <si>
    <t>14 3020201</t>
  </si>
  <si>
    <t>21.12.2011</t>
  </si>
  <si>
    <t>00000000000000000441</t>
  </si>
  <si>
    <t>МФУ WC3210 (принтер/копир/сканер/факс Scan-to-Network, A4. 24стр/мин, 128Mb, PCL6, USB, Eth, ADF, макс. 50К/мес)</t>
  </si>
  <si>
    <t>00000000000000000452</t>
  </si>
  <si>
    <t>00000000000000000455</t>
  </si>
  <si>
    <t>00000000000000000447</t>
  </si>
  <si>
    <t>ИБП APC Back-UPS ES 525VA/300W 230V Russian</t>
  </si>
  <si>
    <t>00000000000000000477</t>
  </si>
  <si>
    <t>00000000000000000478</t>
  </si>
  <si>
    <t>00000000000000000479</t>
  </si>
  <si>
    <t>00000000000000000480</t>
  </si>
  <si>
    <t>00000000000000000481</t>
  </si>
  <si>
    <t>00000000000000000482</t>
  </si>
  <si>
    <t>00000000000000000483</t>
  </si>
  <si>
    <t>00000000000000000484</t>
  </si>
  <si>
    <t>00000000000000000485</t>
  </si>
  <si>
    <t>00000000000000000486</t>
  </si>
  <si>
    <t>00000000000000000489</t>
  </si>
  <si>
    <t>00000000000000000488</t>
  </si>
  <si>
    <t>00000000000000000487</t>
  </si>
  <si>
    <t>00000000000000000490</t>
  </si>
  <si>
    <t>ИБП POWERWARE PW9130, 2000 VA OnLine (двойного преобразования со встроенным байпассом, дополнительным модулем батарей)</t>
  </si>
  <si>
    <t xml:space="preserve">00000000000000000491          </t>
  </si>
  <si>
    <t>14 3020320</t>
  </si>
  <si>
    <t>Информационный терминал Инфомат КБ 1.206.147</t>
  </si>
  <si>
    <t xml:space="preserve">00000000000000000492          </t>
  </si>
  <si>
    <t>Ноутбук Lenovo 15.6 " 018 WXGA SL510/T5870/2G/250/Win7HP1</t>
  </si>
  <si>
    <t xml:space="preserve">00000000000000000001          </t>
  </si>
  <si>
    <t>01.04.2010</t>
  </si>
  <si>
    <t>Компьютер SibComp:Celeron D430, 1024 Mb, 80 Gb, Velton 400W, DVD+RW, монитор 19", колонки 2*3 W, клавиатура, мышь</t>
  </si>
  <si>
    <t>00000000000000000053</t>
  </si>
  <si>
    <t>30.07.2012</t>
  </si>
  <si>
    <t>00000000000000000054</t>
  </si>
  <si>
    <t>00000000000000000055</t>
  </si>
  <si>
    <t>Охранно-пожарная сигнализация</t>
  </si>
  <si>
    <t xml:space="preserve">00000000000000000016          </t>
  </si>
  <si>
    <t>14 3319256</t>
  </si>
  <si>
    <t>16.04.2010</t>
  </si>
  <si>
    <t>00000000000000000063</t>
  </si>
  <si>
    <t>23.04.2010</t>
  </si>
  <si>
    <t>00000000000000000059</t>
  </si>
  <si>
    <t>МФУ А4 LaserJet М1120 (Принтер, копир, сканер) (USB 2,0/32Mb/CPU 230 Mhz/19стр/600dpi/первая страница за 7 сек./лоток 250 листов/сканер 1200 dpi/нагрузка</t>
  </si>
  <si>
    <t xml:space="preserve">00000000000000000057          </t>
  </si>
  <si>
    <t>Принтер А4 НР Laser Jet P1006 (принтер, А4,печать лазерная черно-белая, 16стр/мин ч/б, 600х600 dpi, подача: 150 лист., вывод: 100 лист,память:8 Мб</t>
  </si>
  <si>
    <t xml:space="preserve">00000000000000000058          </t>
  </si>
  <si>
    <t>Локально-вычислительная сеть</t>
  </si>
  <si>
    <t xml:space="preserve">00000000000000000136          </t>
  </si>
  <si>
    <t>14 3020191</t>
  </si>
  <si>
    <t>31.05.2010</t>
  </si>
  <si>
    <t>МФУ Samsung SCX-4321 USB</t>
  </si>
  <si>
    <t xml:space="preserve">00000000000000000148          </t>
  </si>
  <si>
    <t>03.06.2010</t>
  </si>
  <si>
    <t>Принтер HP Laserjet A4</t>
  </si>
  <si>
    <t xml:space="preserve">00000000000000000153          </t>
  </si>
  <si>
    <t xml:space="preserve">00000000000000000154          </t>
  </si>
  <si>
    <t>Системный блок SibComp 777 E3300/1024Mb/250Gb/DVD-RW/Velt on2123 400W/Монитор 943SN/клавиатура КВ-9810/мышь MS-0718/WinXP</t>
  </si>
  <si>
    <t xml:space="preserve">00000000000000000161          </t>
  </si>
  <si>
    <t>23.07.2011</t>
  </si>
  <si>
    <t xml:space="preserve">00000000000000000172          </t>
  </si>
  <si>
    <t>31.10.2010</t>
  </si>
  <si>
    <t>МФУ лазерный HP LaserJet Pro M428fdw, А4, лазерный, белый (w1a30a)</t>
  </si>
  <si>
    <t>00000000000000000799</t>
  </si>
  <si>
    <t>330.28.23.22</t>
  </si>
  <si>
    <t>08.11.2022</t>
  </si>
  <si>
    <t>00000000000000000800</t>
  </si>
  <si>
    <t>00000000000000000801</t>
  </si>
  <si>
    <t>10060000000000244</t>
  </si>
  <si>
    <t>Моноблок ASUS A6521FAK-BA046D, 23.8, Intel Core i3, 814U, 8ГБ, 256ГБ SSD, Intel UHD Graphics 620, Endless</t>
  </si>
  <si>
    <t>00000000000000000547</t>
  </si>
  <si>
    <t>02.11.2020</t>
  </si>
  <si>
    <t>00000000000000000548</t>
  </si>
  <si>
    <t>00000000000000000549</t>
  </si>
  <si>
    <t>00000000000000000550</t>
  </si>
  <si>
    <t>00000000000000000551</t>
  </si>
  <si>
    <t>Принтер лазерный RICOH P C300W лазерный, цвет: белый (408333)</t>
  </si>
  <si>
    <t xml:space="preserve">00000000000000000552          </t>
  </si>
  <si>
    <t xml:space="preserve">330.28.23.23    </t>
  </si>
  <si>
    <t>МФУ лазерный KYOCERA Ecosys M2735dn, A4, лазерный, белый (1102vt3ru0)</t>
  </si>
  <si>
    <t>00000000000000000553</t>
  </si>
  <si>
    <t>00000000000000000554</t>
  </si>
  <si>
    <t>Сплит-система настенного типа Daichi DA50EVQ1/DF50EV/-40 (мощность охлаждения 5,28 кВт, обогрева 5,42)</t>
  </si>
  <si>
    <t xml:space="preserve">00000000000000000568          </t>
  </si>
  <si>
    <t>330.28.25.12.110</t>
  </si>
  <si>
    <t>30.11.2020</t>
  </si>
  <si>
    <t>Пискунова Юлия Леонидовна</t>
  </si>
  <si>
    <t>Цифровой фотоаппарат Nikon CoolPix B500, черный</t>
  </si>
  <si>
    <t xml:space="preserve">00000000000000000566          </t>
  </si>
  <si>
    <t xml:space="preserve">330.26.70.14    </t>
  </si>
  <si>
    <t>17.11.2020</t>
  </si>
  <si>
    <t>Видеокамера Sony HDR-CX 405, черный</t>
  </si>
  <si>
    <t xml:space="preserve">00000000000000000567          </t>
  </si>
  <si>
    <t xml:space="preserve">330.26.70.13    </t>
  </si>
  <si>
    <t>101.36 "Инвентарь производственный и хозяйственный – иное движимое имущество учреждения"</t>
  </si>
  <si>
    <t>Кресло СН 410 ткань SX черная (нагрузка до 180 кг)</t>
  </si>
  <si>
    <t xml:space="preserve">00000000000000000578          </t>
  </si>
  <si>
    <t>330.31.01.1</t>
  </si>
  <si>
    <t>17.03.2021</t>
  </si>
  <si>
    <t>Диван Каре 2-местный</t>
  </si>
  <si>
    <t xml:space="preserve">00000000000000000507          </t>
  </si>
  <si>
    <t>19.06.2013</t>
  </si>
  <si>
    <t>Шкаф ША-3219 архивный (Замок Cam-Lock резьба 16мм, RAL 7035 шагрень (серый))</t>
  </si>
  <si>
    <t>00000000000000000508</t>
  </si>
  <si>
    <t>30.09.2013</t>
  </si>
  <si>
    <t>00000000000000000509</t>
  </si>
  <si>
    <t>Тумба подкатная, 3 ящика, разм. 412х450х556, цвет-французский орех</t>
  </si>
  <si>
    <t xml:space="preserve">00000000000000000529          </t>
  </si>
  <si>
    <t>23.07.2014</t>
  </si>
  <si>
    <t>Тумба приставная CS-3Р, разм.412х450х760мм, цвет- легно лайт (светлый)</t>
  </si>
  <si>
    <t xml:space="preserve">00000000000000000530          </t>
  </si>
  <si>
    <t>19.11.2014</t>
  </si>
  <si>
    <t>Шкаф ША-2033 архивный (Замок Cam-Lock резьба 16мм, RAL 7035 шагрень (серый))</t>
  </si>
  <si>
    <t>00000000000000000532</t>
  </si>
  <si>
    <t>17.11.2014</t>
  </si>
  <si>
    <t>00000000000000000533</t>
  </si>
  <si>
    <t>Климатическая система</t>
  </si>
  <si>
    <t xml:space="preserve">00000000000000000545          </t>
  </si>
  <si>
    <t>330.28.25.12.190</t>
  </si>
  <si>
    <t>05.05.2017</t>
  </si>
  <si>
    <t>КРП Кресло "Евро" (МС-026) (54*50h110) (TW-32/TW-51) (черный)</t>
  </si>
  <si>
    <t>00000000000000000516</t>
  </si>
  <si>
    <t>14.07.2014</t>
  </si>
  <si>
    <t>00000000000000000517</t>
  </si>
  <si>
    <t>00000000000000000514</t>
  </si>
  <si>
    <t>Кресло для посетителей, обивка-иск. кожа, цвет- черный, каркас- крашеный</t>
  </si>
  <si>
    <t>00000000000000000519</t>
  </si>
  <si>
    <t>07.08.2014</t>
  </si>
  <si>
    <t>00000000000000000520</t>
  </si>
  <si>
    <t>00000000000000000521</t>
  </si>
  <si>
    <t>00000000000000000522</t>
  </si>
  <si>
    <t>00000000000000000523</t>
  </si>
  <si>
    <t>00000000000000000524</t>
  </si>
  <si>
    <t>00000000000000000525</t>
  </si>
  <si>
    <t>00000000000000000526</t>
  </si>
  <si>
    <t>00000000000000000527</t>
  </si>
  <si>
    <t>00000000000000000528</t>
  </si>
  <si>
    <t>00000000000000000540</t>
  </si>
  <si>
    <t>20.11.2014</t>
  </si>
  <si>
    <t>Системный телефон Panasonic цифровой</t>
  </si>
  <si>
    <t xml:space="preserve">00000000000000000432          </t>
  </si>
  <si>
    <t>Стол криволинейный 1600*900(720)*755 арт. СА-1Пр</t>
  </si>
  <si>
    <t>00000000000000000002</t>
  </si>
  <si>
    <t>16 3612420</t>
  </si>
  <si>
    <t>00000000000000000003</t>
  </si>
  <si>
    <t>Тумба приставная ТП-4 (412*450*755) арт. ТП-4</t>
  </si>
  <si>
    <t>00000000000000000004</t>
  </si>
  <si>
    <t>16 3612461</t>
  </si>
  <si>
    <t>00000000000000000005</t>
  </si>
  <si>
    <t>Шкаф для одежды одностворчатый (высота 1975, глубина 365, длина 550) мм, серия "Имаго" арт. ГБ-1</t>
  </si>
  <si>
    <t>00000000000000000007</t>
  </si>
  <si>
    <t>16 3612430</t>
  </si>
  <si>
    <t>00000000000000000008</t>
  </si>
  <si>
    <t>Шкаф офисный полуоткрытый двери глухие; 3 полки (1975*365*770)мм, серия "Имаго"  арт. СТ-1.1</t>
  </si>
  <si>
    <t>00000000000000000009</t>
  </si>
  <si>
    <t>00000000000000000010</t>
  </si>
  <si>
    <t>Факсимильный аппарат на термобумаге Panasonic KX-FT98RU-W</t>
  </si>
  <si>
    <t xml:space="preserve">00000000000000000077          </t>
  </si>
  <si>
    <t>11.05.2010</t>
  </si>
  <si>
    <t>Системный телефон Panasonic KX-T7730RU (для ТА/ТЕ)</t>
  </si>
  <si>
    <t xml:space="preserve">00000000000000000078          </t>
  </si>
  <si>
    <t>Блок базовый аналоговый гибридной мини-АТС Panasonic KX-TEM8 VO01000527_0600-527</t>
  </si>
  <si>
    <t xml:space="preserve">00000000000000000135          </t>
  </si>
  <si>
    <t>14 3222101</t>
  </si>
  <si>
    <t>27.05.2010</t>
  </si>
  <si>
    <t>Информационный стенд</t>
  </si>
  <si>
    <t xml:space="preserve">00000000000000000137          </t>
  </si>
  <si>
    <t>11.06.2010</t>
  </si>
  <si>
    <t>Сейф огнестойкий BSK-750 "TOPAZ"</t>
  </si>
  <si>
    <t xml:space="preserve">00000000000000000143          </t>
  </si>
  <si>
    <t>19.05.2008</t>
  </si>
  <si>
    <t>Тепловая завеса ТВ-6</t>
  </si>
  <si>
    <t xml:space="preserve">00000000000000000144          </t>
  </si>
  <si>
    <t xml:space="preserve">00000000000000000145          </t>
  </si>
  <si>
    <t>Шкаф-витрина Ш64 "Рондо"</t>
  </si>
  <si>
    <t xml:space="preserve">00000000000000000146          </t>
  </si>
  <si>
    <t>Шкаф-витрина узкий Ш64-04 "Рондо"</t>
  </si>
  <si>
    <t xml:space="preserve">00000000000000000149          </t>
  </si>
  <si>
    <t>Стол письменный компьютерный</t>
  </si>
  <si>
    <t xml:space="preserve">00000000000000000151          </t>
  </si>
  <si>
    <t>Шкаф для книг (комплект мебели)</t>
  </si>
  <si>
    <t xml:space="preserve">00000000000000000152          </t>
  </si>
  <si>
    <t>Тумба СТ-04 "Рондо"</t>
  </si>
  <si>
    <t xml:space="preserve">00000000000000000155          </t>
  </si>
  <si>
    <t>Тумба "Рондо"</t>
  </si>
  <si>
    <t xml:space="preserve">00000000000000000156          </t>
  </si>
  <si>
    <t>Стол письменный СТ3-14 "Рондо"</t>
  </si>
  <si>
    <t>00000000000000000158</t>
  </si>
  <si>
    <t>00000000000000000159</t>
  </si>
  <si>
    <t>Фасадная вывеска</t>
  </si>
  <si>
    <t xml:space="preserve">00000000000000000576          </t>
  </si>
  <si>
    <t>330.32.99.53.190</t>
  </si>
  <si>
    <t>22.12.2020</t>
  </si>
  <si>
    <t>101.38 "Прочие основные средства – иное движимое имущество учреждения"</t>
  </si>
  <si>
    <t>Кулер Vatten L45WE напольный электронный белый</t>
  </si>
  <si>
    <t xml:space="preserve">00000000000000000589          </t>
  </si>
  <si>
    <t>330.28.29</t>
  </si>
  <si>
    <t>21.09.2021</t>
  </si>
  <si>
    <t>СМАРТ Рабочее место с тумбой тип2, R (22+22) (138*138) (дуб мед)</t>
  </si>
  <si>
    <t xml:space="preserve">00000000000000000710          </t>
  </si>
  <si>
    <t>10.11.2021</t>
  </si>
  <si>
    <t>К-961 Стол рабочий (1800*900*750) Кронберг</t>
  </si>
  <si>
    <t xml:space="preserve">00000000000000000711          </t>
  </si>
  <si>
    <t>28.01.2022</t>
  </si>
  <si>
    <t>К-971 Креденция на колесных опорах (1200*446*600), кронберг</t>
  </si>
  <si>
    <t xml:space="preserve">00000000000000000712          </t>
  </si>
  <si>
    <t>К-968+к-969) Конференц-приставка (800*2000*750), кронберг</t>
  </si>
  <si>
    <t xml:space="preserve">00000000000000000713          </t>
  </si>
  <si>
    <t>К-988 Шкаф для одежды с декоративным топом (720*420*2000), кронберг</t>
  </si>
  <si>
    <t xml:space="preserve">00000000000000000716          </t>
  </si>
  <si>
    <t>К-933 Шкаф средний со стеклом и с декоративным топом (720*420*1215), кронберг</t>
  </si>
  <si>
    <t xml:space="preserve">00000000000000000717          </t>
  </si>
  <si>
    <t>К-932 Шкаф узкий закрытый (360*420*2000) Кронберг</t>
  </si>
  <si>
    <t xml:space="preserve">00000000000000000714          </t>
  </si>
  <si>
    <t>Стеллаж А-306 (770*365*2000) ясень шимо</t>
  </si>
  <si>
    <t xml:space="preserve">00000000000000000718          </t>
  </si>
  <si>
    <t>25.03.2022</t>
  </si>
  <si>
    <t>1-630-750 Моющий аппарат К 5 COMPACT*EU NEW</t>
  </si>
  <si>
    <t xml:space="preserve">00000000000000000719          </t>
  </si>
  <si>
    <t>20.05.2022</t>
  </si>
  <si>
    <t>Флипчарт Erich Krause 70*100см магнитно-маркерный на передвижной</t>
  </si>
  <si>
    <t xml:space="preserve">00000000000000000534          </t>
  </si>
  <si>
    <t>14.11.2014</t>
  </si>
  <si>
    <t>АТОЛ Sigma 7. Смарт-терминал, Черный, с фискальным накопителем на 36 мес+ Платформа ОФД</t>
  </si>
  <si>
    <t xml:space="preserve">00000000000000000546          </t>
  </si>
  <si>
    <t>330.28.28.23.13.</t>
  </si>
  <si>
    <t>06.11.2019</t>
  </si>
  <si>
    <t>01130000000000244</t>
  </si>
  <si>
    <t>Урна уличная</t>
  </si>
  <si>
    <t>00000000000000000705</t>
  </si>
  <si>
    <t>28.12.2021</t>
  </si>
  <si>
    <t>00000000000000000706</t>
  </si>
  <si>
    <t>00000000000000000707</t>
  </si>
  <si>
    <t>00000000000000000709</t>
  </si>
  <si>
    <t>00000000000000000708</t>
  </si>
  <si>
    <t>Ноутбук /HPM-XX946EA ACB/ HP ProBook 4330s 13.3." (136х768 (матовый))</t>
  </si>
  <si>
    <t xml:space="preserve">00000000000000000189          </t>
  </si>
  <si>
    <t>14 3020200</t>
  </si>
  <si>
    <t>11.11.2011</t>
  </si>
  <si>
    <t>Лестница-трансформер (4х4), алюминиевая 1.3-4.6 м</t>
  </si>
  <si>
    <t xml:space="preserve">00000000000000000188          </t>
  </si>
  <si>
    <t>10.11.2011</t>
  </si>
  <si>
    <t>Кресло офисное Charirman</t>
  </si>
  <si>
    <t>00000000000000000194</t>
  </si>
  <si>
    <t>14.01.2011</t>
  </si>
  <si>
    <t>00000000000000000195</t>
  </si>
  <si>
    <t>00000000000000000196</t>
  </si>
  <si>
    <t>00000000000000000197</t>
  </si>
  <si>
    <t>00000000000000000198</t>
  </si>
  <si>
    <t>00000000000000000199</t>
  </si>
  <si>
    <t>00000000000000000200</t>
  </si>
  <si>
    <t>00000000000000000201</t>
  </si>
  <si>
    <t>00000000000000000202</t>
  </si>
  <si>
    <t>00000000000000000203</t>
  </si>
  <si>
    <t>00000000000000000204</t>
  </si>
  <si>
    <t>00000000000000000205</t>
  </si>
  <si>
    <t>00000000000000000206</t>
  </si>
  <si>
    <t>00000000000000000207</t>
  </si>
  <si>
    <t>00000000000000000208</t>
  </si>
  <si>
    <t>00000000000000000209</t>
  </si>
  <si>
    <t>00000000000000000190</t>
  </si>
  <si>
    <t>00000000000000000191</t>
  </si>
  <si>
    <t>00000000000000000192</t>
  </si>
  <si>
    <t>00000000000000000193</t>
  </si>
  <si>
    <t>Стеллаж складской СС-011 2200*1000*500 6 полок (оборотный)</t>
  </si>
  <si>
    <t>00000000000000000210</t>
  </si>
  <si>
    <t>00000000000000000211</t>
  </si>
  <si>
    <t>Шкаф-гардероб Imago 770*580*1975 арт. ГБ 2</t>
  </si>
  <si>
    <t>00000000000000000222</t>
  </si>
  <si>
    <t>14.11.2011</t>
  </si>
  <si>
    <t>00000000000000000219</t>
  </si>
  <si>
    <t>Мобильный стенд</t>
  </si>
  <si>
    <t>00000000000000000445</t>
  </si>
  <si>
    <t>27.12.2011</t>
  </si>
  <si>
    <t>00000000000000000444</t>
  </si>
  <si>
    <t>Диван Хилтон 2</t>
  </si>
  <si>
    <t xml:space="preserve">00000000000000000503          </t>
  </si>
  <si>
    <t>11.01.2012</t>
  </si>
  <si>
    <t>Экран на треноге 180*180 Apollo T MW</t>
  </si>
  <si>
    <t xml:space="preserve">00000000000000000163          </t>
  </si>
  <si>
    <t>30.08.2010</t>
  </si>
  <si>
    <t>Стол переговорный арт. ВМ 122 1155463</t>
  </si>
  <si>
    <t xml:space="preserve">00000000000000000183          </t>
  </si>
  <si>
    <t>24.12.2010</t>
  </si>
  <si>
    <t>Wi-Fi роутер MIKROTIK RB2011UIAS-2HND-IN, N300, черный</t>
  </si>
  <si>
    <t xml:space="preserve">00000000000000000745          </t>
  </si>
  <si>
    <t>330.28.23.23</t>
  </si>
  <si>
    <t>15.04.2022</t>
  </si>
  <si>
    <t>Аппарат для воды Ангел (LD-AEL-47с) черный/серебро с шкафчиком</t>
  </si>
  <si>
    <t xml:space="preserve">00000000000000000746          </t>
  </si>
  <si>
    <t>330.28.25.13.115</t>
  </si>
  <si>
    <t>20.04.2022</t>
  </si>
  <si>
    <t>Кресло для руководителя Chairman 279 00-01138105 Ткань JP 15-2 (черная) 780х310х</t>
  </si>
  <si>
    <t xml:space="preserve">00000000000000000816          </t>
  </si>
  <si>
    <t>29.11.2022</t>
  </si>
  <si>
    <t>Тумба для документов приставная (с замком) Riva А. ТП-4. 2F-S Венге 412х720х750</t>
  </si>
  <si>
    <t xml:space="preserve">00000000000000000819          </t>
  </si>
  <si>
    <t>Стол письменный криволинейный левый Riva А.СА-2 (L) Клен 1400х900х750</t>
  </si>
  <si>
    <t>00000000000000000821</t>
  </si>
  <si>
    <t>00000000000000000822</t>
  </si>
  <si>
    <t>00000000000000000820</t>
  </si>
  <si>
    <t>Стол письменный криволинейный правый Riva А.СА-2 (R) Клен 1400х900х750</t>
  </si>
  <si>
    <t>00000000000000000823</t>
  </si>
  <si>
    <t>00000000000000000824</t>
  </si>
  <si>
    <t>00000000000000000825</t>
  </si>
  <si>
    <t>Тумба для документов пристаная (с замком) Riva А. ТП-4F-S Клен 412х450х750</t>
  </si>
  <si>
    <t>00000000000000000826</t>
  </si>
  <si>
    <t>00000000000000000827</t>
  </si>
  <si>
    <t>00000000000000000828</t>
  </si>
  <si>
    <t>00000000000000000829</t>
  </si>
  <si>
    <t>00000000000000000830</t>
  </si>
  <si>
    <t>00000000000000000831</t>
  </si>
  <si>
    <t>Шкаф для одежды Riva А. ГБ-2 Клен 770х580х1980</t>
  </si>
  <si>
    <t xml:space="preserve">00000000000000000834          </t>
  </si>
  <si>
    <t>Шкаф для одежды Riva А. ГБ-2 Венге 770х580х1980</t>
  </si>
  <si>
    <t xml:space="preserve">00000000000000000835          </t>
  </si>
  <si>
    <t>Шкаф для документов Riva А. СТ-1.1 Клен 770х365х1980</t>
  </si>
  <si>
    <t>00000000000000000832</t>
  </si>
  <si>
    <t>00000000000000000833</t>
  </si>
  <si>
    <t>Шкаф для документов Riva А. СТ-1.1 Венге 770х365х1980</t>
  </si>
  <si>
    <t xml:space="preserve">00000000000000000836          </t>
  </si>
  <si>
    <t>Вывеска из акрила 1,2 х 0,4 м.</t>
  </si>
  <si>
    <t xml:space="preserve">00000000000000000838          </t>
  </si>
  <si>
    <t>23.12.2022</t>
  </si>
  <si>
    <t>Вывеска из акрила 0,42  х 0,297 м.</t>
  </si>
  <si>
    <t xml:space="preserve">00000000000000000839          </t>
  </si>
  <si>
    <t>НИ</t>
  </si>
  <si>
    <t>Транспорт</t>
  </si>
  <si>
    <t>ОЦДИ</t>
  </si>
  <si>
    <t>иное ДИ</t>
  </si>
  <si>
    <t>Реестровый номер</t>
  </si>
  <si>
    <t>Предоставление поручительств по обязательствам  (кредитам, займам, договорам лизинга и т.п.) субъектов малого и среднего предпринимательства при недостаточном обеспечении исполнения обязательств другими способами</t>
  </si>
  <si>
    <t>Обустройство мобильными тентовыми конструкциями места для проведения мероприятий размером 6х4 м</t>
  </si>
  <si>
    <t>Обустройство мобильными тентовыми конструкциями места для проведения мероприятий размером 1,5х4 м</t>
  </si>
  <si>
    <t>Предоставление торгового прилавка с ячейками размером 1,2х0,6 м (с доставкой)</t>
  </si>
  <si>
    <t>Предоставление торгового прилавка с ячейками размером 1,2х0,6 м (без доставки)</t>
  </si>
  <si>
    <t>проводится капитальный ремонт и/или реконструкция</t>
  </si>
  <si>
    <t>03</t>
  </si>
  <si>
    <t>04320491</t>
  </si>
  <si>
    <t>04701000</t>
  </si>
  <si>
    <t>Муниципальное образование г. Красноярск</t>
  </si>
  <si>
    <t>Администрация города Красноярска</t>
  </si>
  <si>
    <t>Ж.А. Ильина</t>
  </si>
  <si>
    <t>СТР02091</t>
  </si>
  <si>
    <t>Нежилое помещение №77 по ул. Никитина,3 "б"</t>
  </si>
  <si>
    <t>Нежилое помещение №84, по адресу:  ул. Коммунальная,26</t>
  </si>
  <si>
    <t>ул. Коммунальная,26, пом. 84</t>
  </si>
  <si>
    <t>СТР13821</t>
  </si>
  <si>
    <t>24:50:0000000:195240</t>
  </si>
  <si>
    <t>Выписка из ЕГРН от 30.09.2022 г.</t>
  </si>
  <si>
    <t>24ЕИ 572735 от 14.04.2010 г.</t>
  </si>
  <si>
    <t>24:50:0400149:429</t>
  </si>
  <si>
    <t>055</t>
  </si>
  <si>
    <t>* Земельные участки за учреждением не закреплены</t>
  </si>
  <si>
    <t>* Договора аренды на земельные участки не заключались</t>
  </si>
  <si>
    <t>2.3.2  Сведения о недвижимом имуществе, используемом на праве аренды с почасовой оплатой*</t>
  </si>
  <si>
    <t>* Договора аренды с почасовой оплатой не заключались</t>
  </si>
  <si>
    <t>*Договора безвозмездного пользования не заключались</t>
  </si>
  <si>
    <t>2.5.2 Сведения о неиспользуемых транспортных средствах, находящихся в оперативном управлении учреждения*</t>
  </si>
  <si>
    <t>*Неиспользуемые транспортные средства отсутствуют</t>
  </si>
  <si>
    <t>2.6 Сведения об имуществе, за исключением земельных участков, переданном в аренду*</t>
  </si>
  <si>
    <t>*Имущестов в аренду не передавалось</t>
  </si>
  <si>
    <t>Н.Е. Никулина</t>
  </si>
  <si>
    <t>ул. Никитина,3 "б"</t>
  </si>
  <si>
    <t>ОСН101395</t>
  </si>
  <si>
    <t>ОСН101387</t>
  </si>
  <si>
    <t>допол. от 01.03.2012 к прилож. № 1 к 330 от 26.07.2011</t>
  </si>
  <si>
    <t>Дата начала срока полезного использования</t>
  </si>
  <si>
    <t>Фактический срок использования, мес.</t>
  </si>
  <si>
    <t>* - помещение передано в оперативное управление МАУ "ЦС МСП" с незаконно находяшейся в нем организацией, выселение которой осущестляется в судебном порядке</t>
  </si>
  <si>
    <t>за исключением земельных участков, закрепленном на праве оперативного управления</t>
  </si>
  <si>
    <t>2.1 Сведения о недвижимом имуществе,</t>
  </si>
  <si>
    <t>предоставленных на праве постоянного (бессрочного) пользования*</t>
  </si>
  <si>
    <t>2.2 Сведения о земельных участках,</t>
  </si>
  <si>
    <t>2.2.1 Сведения о земельных участках,</t>
  </si>
  <si>
    <t>предоставленных на праве аренды*</t>
  </si>
  <si>
    <t>2.3.3 Сведения о недвижимом имуществе,</t>
  </si>
  <si>
    <t>используемом по договору безвозмездного пользования (договору ссуды)*</t>
  </si>
  <si>
    <t>2.3 Сведения о недвижимом имуществе, используемом по договору аренды</t>
  </si>
  <si>
    <t>"____" _____________ 20___ г.</t>
  </si>
  <si>
    <t>2.4 Сведения об особо ценном движимом имуществе (за исключением транспортных средств)</t>
  </si>
  <si>
    <t>приходящейся на доли в уставных (складочных) капиталах хозяйственных товариществ</t>
  </si>
  <si>
    <t>подпись, ФИО руководителя главного распорядителя бюджетных средств, в ведении которого находится муниципальное казенное учреждение (органа, координирующего деятельность муниципального
бюджетного или муниципального автономного учреждения города Красноярска))</t>
  </si>
  <si>
    <t>Муниципальное автономное учреждение города Красноярска 
"Центр содействия малому и среднему предпринимательству"</t>
  </si>
  <si>
    <t>от 0,05% до 1,5% от суммы поручительства в год</t>
  </si>
  <si>
    <t>64.99</t>
  </si>
  <si>
    <t>69.20.3</t>
  </si>
  <si>
    <t>штука</t>
  </si>
  <si>
    <t>согласно договру</t>
  </si>
  <si>
    <t>Специалисты</t>
  </si>
  <si>
    <t>Водитель</t>
  </si>
  <si>
    <t>Директор, заместители, руководители центров, главный бухгалтер,юрист-кадровик</t>
  </si>
  <si>
    <t>31196Z3723</t>
  </si>
  <si>
    <t>Казначейский</t>
  </si>
  <si>
    <t>40703810731284022272</t>
  </si>
  <si>
    <t>Расчетный</t>
  </si>
  <si>
    <t>Депозитный</t>
  </si>
  <si>
    <t>Договор</t>
  </si>
  <si>
    <t>40703810531280022272</t>
  </si>
  <si>
    <t>Договор присоединения</t>
  </si>
  <si>
    <t>1910/20491/868</t>
  </si>
  <si>
    <t>И.Р. Антипина</t>
  </si>
  <si>
    <t>экономической политики и инвестиционного развития</t>
  </si>
  <si>
    <t>Договор 163/22 от 23.12.2022</t>
  </si>
  <si>
    <t>Договор предоставления поручительств</t>
  </si>
  <si>
    <t>Дистанционная регистрация ООО</t>
  </si>
  <si>
    <t>Договор 2496 от 01.11.2019 (банк Точка)</t>
  </si>
  <si>
    <t>Агентский договор 3197/ДС/19-п от 29.08.2019 (Сбер)</t>
  </si>
  <si>
    <t>ВСЕГО</t>
  </si>
  <si>
    <t>рублей</t>
  </si>
  <si>
    <t>ЦПП</t>
  </si>
  <si>
    <t>договор</t>
  </si>
  <si>
    <t>час</t>
  </si>
  <si>
    <t>день</t>
  </si>
  <si>
    <t>77.39.27</t>
  </si>
  <si>
    <t>бесплатно</t>
  </si>
  <si>
    <t>менее трех часов</t>
  </si>
  <si>
    <t>от трех часов и более</t>
  </si>
  <si>
    <t>Услуга по предоставлению презентационного оборудования (Социально ориентированным некоммерческим организациям для проведения мероприятий в рамках реализации социальных проектов)</t>
  </si>
  <si>
    <t>социально ориентированным некоммерческим организациям для проведения мероприятий в рамках реализации социальных проектов</t>
  </si>
  <si>
    <t>первый день</t>
  </si>
  <si>
    <t>второй и следующие дни</t>
  </si>
  <si>
    <t>Агентский договор 3197/ДС/19-п от 29.08.2019 (Сбербанк)</t>
  </si>
  <si>
    <t>68.20.2</t>
  </si>
  <si>
    <t>Привлечение реальных покупателей банковских продуктов и небанковских сервисов (в рамках проекта "Партнерская программа"), с получением вознаграждения за совершенные действия</t>
  </si>
  <si>
    <t>Сумма поступлений</t>
  </si>
  <si>
    <t>Изменение, %</t>
  </si>
  <si>
    <t>Доля в общей сумме поступлений, %</t>
  </si>
  <si>
    <t>Субсидии на финансовое обеспечение выполнения муниципального задания</t>
  </si>
  <si>
    <t>Субсидии на финансовое обеспечение выполнения муниципального задания из бюджета Федерального фонда обязательного медицинского страхования</t>
  </si>
  <si>
    <t>Субсидии на иные цели</t>
  </si>
  <si>
    <t>Субсидии на осуществление капитальных вложений</t>
  </si>
  <si>
    <t>Гранты в форме субсидий, всего</t>
  </si>
  <si>
    <t>гранты в форме субсидий из федерального бюджета</t>
  </si>
  <si>
    <t>гранты в форме субсидий из бюджетов субъектов Российской Федерации и местных бюджетов</t>
  </si>
  <si>
    <t>Гранты, предоставляемые юридическими и физическими лицами (за исключением грантов в форме субсидий, предоставляемых из бюджетов бюджетной системы Российской Федерации)</t>
  </si>
  <si>
    <t>гранты, предоставляемые юридическими лицами (операторами), источником финансового обеспечения которых являются субсидии и имущественные взносы, полученные из бюджетов бюджетной системы Российской Федерации</t>
  </si>
  <si>
    <t>Пожертвования и иные безвозмездные перечисления от физических и юридических лиц, в том числе иностранных организаций</t>
  </si>
  <si>
    <t>Доходы от приносящей доход деятельности, компенсаций затрат (за исключением доходов от собственности), всего</t>
  </si>
  <si>
    <t>доходы в виде платы за оказание услуг (выполнение работ) в рамках установленного государственного задания</t>
  </si>
  <si>
    <t>доходы от оказания услуг, выполнения работ, реализации готовой продукции сверх установленного муниципального задания по видам деятельности, отнесенным в соответствии с учредительными документами к основным</t>
  </si>
  <si>
    <t>доходы от платы за пользование служебными жилыми помещениями и общежитиями, включающей плату за пользование и плату за содержание жилого помещения</t>
  </si>
  <si>
    <t>доходы от оказания услуг в рамках обязательного медицинского страхования</t>
  </si>
  <si>
    <t>доходы от оказания медицинских услуг, предоставляемых женщинам в период беременности, женщинам и новорожденным в период родов и в послеродовой период</t>
  </si>
  <si>
    <t>возмещение расходов, понесенных в связи с эксплуатацией имущества, находящегося в оперативном управлении учреждения</t>
  </si>
  <si>
    <t>прочие доходы от оказания услуг, выполнения работ, компенсации затрат учреждения, включая возмещение расходов по решению судов (возмещение судебных издержек)</t>
  </si>
  <si>
    <t>Доходы от собственности, всего</t>
  </si>
  <si>
    <t>доходы в виде арендной либо иной платы за передачу в возмездное пользование государственного (муниципального) имущества</t>
  </si>
  <si>
    <t>доходы от распоряжения правами на результаты интеллектуальной деятельности и средствами индивидуализации</t>
  </si>
  <si>
    <t>проценты по депозитам учреждения в кредитных организациях</t>
  </si>
  <si>
    <t>проценты по остаткам средств на счетах учреждения в кредитных организациях</t>
  </si>
  <si>
    <t>проценты, полученные от предоставления займов</t>
  </si>
  <si>
    <t>проценты по иным финансовым инструментам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</si>
  <si>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учреждению</t>
  </si>
  <si>
    <t>прочие доходы от использования имущества, находящегося в оперативном управлении учреждения</t>
  </si>
  <si>
    <t>Поступления доходов от штрафов, пеней, неустоек, возмещения ущерба</t>
  </si>
  <si>
    <t>Поступления доходов от выбытия нефинансовых активов</t>
  </si>
  <si>
    <t>Поступления доходов от выбытия финансовых активов</t>
  </si>
  <si>
    <t>1.2. Сведения о поступлениях и выплатах учреждения</t>
  </si>
  <si>
    <t>1.2.1. Сведения о поступлениях учреждения</t>
  </si>
  <si>
    <t>1.2.2. Сведения о выплатах учреждения</t>
  </si>
  <si>
    <t>Сумма выплат за отчетный период, всего</t>
  </si>
  <si>
    <t>Доля в общей сумме выплат, %</t>
  </si>
  <si>
    <t>В том числе по источникам финансового обеспечения обязательств по выплатам</t>
  </si>
  <si>
    <t>за счет средств субсидии на выполнение муниципального задания</t>
  </si>
  <si>
    <t>доля в общей сумме выплат, отраженных в графе 3, %</t>
  </si>
  <si>
    <t>за счет средств от приносящей доход деятельности, всего</t>
  </si>
  <si>
    <t>за счет средств, полученных от оказания услуг, выполнения работ, реализации продукции</t>
  </si>
  <si>
    <t>за счет безвозмездных поступлений</t>
  </si>
  <si>
    <t>из бюджетов субъектов Российской Федерации и местных бюджетов</t>
  </si>
  <si>
    <t>Оплата труда и компенсационные выплаты работникам</t>
  </si>
  <si>
    <t>Взносы по обязательному социальному страхованию</t>
  </si>
  <si>
    <t>Приобретение товаров, работ, услуг, всего</t>
  </si>
  <si>
    <t>услуги связи</t>
  </si>
  <si>
    <t>транспортные услуги</t>
  </si>
  <si>
    <t>работы, услуги по содержанию имущества</t>
  </si>
  <si>
    <t>прочие работы, услуги</t>
  </si>
  <si>
    <t>Обслуживание долговых обязательств</t>
  </si>
  <si>
    <t>Безвозмездные перечисления организациям</t>
  </si>
  <si>
    <t>Социальное обеспечение</t>
  </si>
  <si>
    <t>Уплата налогов, сборов, прочих платежей в бюджет (за исключением взносов по обязательному социальному страхованию), всего</t>
  </si>
  <si>
    <t>налог на прибыль</t>
  </si>
  <si>
    <t>налог на добавленную стоимость</t>
  </si>
  <si>
    <t>налог на имущество организаций</t>
  </si>
  <si>
    <t>земельный налог</t>
  </si>
  <si>
    <t>транспортный налог</t>
  </si>
  <si>
    <t>водный налог</t>
  </si>
  <si>
    <t>государственные пошлины</t>
  </si>
  <si>
    <t>Приобретение финансовых активов, всего:</t>
  </si>
  <si>
    <t>приобретение ценных бумаг, кроме акций и иных форм участия в капитале</t>
  </si>
  <si>
    <t>приобретение акций и иные формы участия в капитале</t>
  </si>
  <si>
    <t>Иные выплаты, всего</t>
  </si>
  <si>
    <t>перечисление денежных обеспечений</t>
  </si>
  <si>
    <t>перечисление денежных средств на депозитные счета</t>
  </si>
  <si>
    <t>1.3 Сведения об оказываемых услугах, выполняемых работах 
сверх установленного муниципального задания, а также выпускаемой продукции</t>
  </si>
  <si>
    <t>1.3.1 Сведения об услугах, оказываемых сверх установленного муниципального задания</t>
  </si>
  <si>
    <t>1.3.2 Сведения о работах, выполняемых сверх установленного муниципального задания</t>
  </si>
  <si>
    <t>1.3.3 Сведения о производимой продукции</t>
  </si>
  <si>
    <t>1.4 Сведения о доходах учреждения в виде прибыли,</t>
  </si>
  <si>
    <t>из нее срок оплаты наступил в отчетном финансовом году</t>
  </si>
  <si>
    <t>из нее: в январе</t>
  </si>
  <si>
    <t>2 квартале</t>
  </si>
  <si>
    <t>3 квартале</t>
  </si>
  <si>
    <t>4 квартале</t>
  </si>
  <si>
    <t>в очередном финансовом году и плановом периоде</t>
  </si>
  <si>
    <t>по претензионным требованиям</t>
  </si>
  <si>
    <t>по непоступившим расчетным документам</t>
  </si>
  <si>
    <t>иные</t>
  </si>
  <si>
    <t>1.6 Сведения о просроченной кредиторской задолженности</t>
  </si>
  <si>
    <t>1.7 Сведения о задолженности по ущербу, недостачам, хищениям денежных средств и материальных ценностей</t>
  </si>
  <si>
    <t>1.8 Сведения о численности сотрудников и оплате труда</t>
  </si>
  <si>
    <t>1.8.1 Сведения о численности сотрудников</t>
  </si>
  <si>
    <t>1.8.2 Сведения об оплате труда</t>
  </si>
  <si>
    <t>1.9 Сведения о счетах учреждения, открытых в кредитных организациях</t>
  </si>
  <si>
    <t>по неиспользуемому имуществу &lt;25.2&gt;</t>
  </si>
  <si>
    <t>возмещается пользователями имущества &lt;25.1&gt;</t>
  </si>
  <si>
    <t>1.5. Сведения о кредиторской задолженности и обязательствах учреждения</t>
  </si>
  <si>
    <t>арендная плата за пользование имуществом</t>
  </si>
  <si>
    <t>Жукова Наталья Николаевна</t>
  </si>
  <si>
    <t>Проектор Acer X1223HP (DLP, лампа 3D, 1024х768, 4000 ANSI Im, 20к:1, 3Вт, VGA. Р</t>
  </si>
  <si>
    <t xml:space="preserve">00000000000000000994          </t>
  </si>
  <si>
    <t>330.26.70.16</t>
  </si>
  <si>
    <t>25.12.2023</t>
  </si>
  <si>
    <t>Охранно-пожарная сигнализация по адресу: ул. Коммунальная,26</t>
  </si>
  <si>
    <t xml:space="preserve">00000000000000000871          </t>
  </si>
  <si>
    <t>330.26.30.50</t>
  </si>
  <si>
    <t>14.02.2023</t>
  </si>
  <si>
    <t>Шкаф-гардероб Ш64  "Рондо"</t>
  </si>
  <si>
    <t>Шатер-палатка</t>
  </si>
  <si>
    <t>00000000000000000989</t>
  </si>
  <si>
    <t>11.12.2023</t>
  </si>
  <si>
    <t>00000000000000000990</t>
  </si>
  <si>
    <t>00000000000000000991</t>
  </si>
  <si>
    <t>00000000000000000992</t>
  </si>
  <si>
    <t>00000000000000000993</t>
  </si>
  <si>
    <t>00000000000000000983</t>
  </si>
  <si>
    <t>00000000000000000985</t>
  </si>
  <si>
    <t>00000000000000000984</t>
  </si>
  <si>
    <t>00000000000000000982</t>
  </si>
  <si>
    <t>00000000000000000981</t>
  </si>
  <si>
    <t>00000000000000000986</t>
  </si>
  <si>
    <t>00000000000000000987</t>
  </si>
  <si>
    <t>00000000000000000988</t>
  </si>
  <si>
    <t>Мобильный складной киоск (корнер)</t>
  </si>
  <si>
    <t>00000000000000000876</t>
  </si>
  <si>
    <t>01.06.2023</t>
  </si>
  <si>
    <t>00000000000000000881</t>
  </si>
  <si>
    <t>00000000000000000880</t>
  </si>
  <si>
    <t>00000000000000000879</t>
  </si>
  <si>
    <t>00000000000000000878</t>
  </si>
  <si>
    <t>00000000000000000877</t>
  </si>
  <si>
    <t>00000000000000000875</t>
  </si>
  <si>
    <t>00000000000000000874</t>
  </si>
  <si>
    <t>00000000000000000873</t>
  </si>
  <si>
    <t>00000000000000000872</t>
  </si>
  <si>
    <t xml:space="preserve">Количество физических лиц, обратившихся за услугой;
Количество субъектов малого предпринимательства, обратившихся за услугой;
Количество субъектов среднего предпринимательства, обратившихся за услугой 
</t>
  </si>
  <si>
    <t>количество физических лиц, обратившихся за услуг;             количество субъектов малого предпринимательства, обратившихся за услугой;            количество субъектов среднего предпринимательства, обратившихся за услугой</t>
  </si>
  <si>
    <t xml:space="preserve">
Договор от 25.12.2023 № 30</t>
  </si>
  <si>
    <t xml:space="preserve">
Договор от 25.12.2023 № 29</t>
  </si>
  <si>
    <t>Сбер</t>
  </si>
  <si>
    <t xml:space="preserve">
Агентский договор 3197/ДС/19-п от 29.08.2019</t>
  </si>
  <si>
    <t>21.12.2023</t>
  </si>
  <si>
    <t xml:space="preserve">
Договор от 12.12.2023 № 28</t>
  </si>
  <si>
    <t>12.12.2023</t>
  </si>
  <si>
    <t xml:space="preserve">
Договор от 05.12.2023 № 27</t>
  </si>
  <si>
    <t>05.12.2023</t>
  </si>
  <si>
    <t xml:space="preserve">
Договор предоставления услуги от 27.11.2023 № 31</t>
  </si>
  <si>
    <t>28.11.2023</t>
  </si>
  <si>
    <t>21.11.2023</t>
  </si>
  <si>
    <t xml:space="preserve">
Договор от 17.11.2023 № 26</t>
  </si>
  <si>
    <t>17.11.2023</t>
  </si>
  <si>
    <t xml:space="preserve">
Договор от 02.11.2023 № 10</t>
  </si>
  <si>
    <t>02.11.2023</t>
  </si>
  <si>
    <t>19.10.2023</t>
  </si>
  <si>
    <t xml:space="preserve">
Договор предоставления услуги от 11.10.2023 № 30</t>
  </si>
  <si>
    <t>12.10.2023</t>
  </si>
  <si>
    <t xml:space="preserve">
Договор от 12.10.2023 № 9</t>
  </si>
  <si>
    <t xml:space="preserve">
Договор предоставления услуги от 28.09.2023 № 29</t>
  </si>
  <si>
    <t>29.09.2023</t>
  </si>
  <si>
    <t xml:space="preserve">
Договор предоставления услуги от 22.09.2023 № 29</t>
  </si>
  <si>
    <t>23.09.2023</t>
  </si>
  <si>
    <t xml:space="preserve">
Договор предоставления услуги от 22.09.2023 № 28</t>
  </si>
  <si>
    <t xml:space="preserve">
Договор от 21.09.2023 № 8</t>
  </si>
  <si>
    <t>21.09.2023</t>
  </si>
  <si>
    <t xml:space="preserve">
Договор от 12.09.2023 № 7</t>
  </si>
  <si>
    <t>12.09.2023</t>
  </si>
  <si>
    <t xml:space="preserve">
Договор от 12.09.2023 № 25</t>
  </si>
  <si>
    <t xml:space="preserve">
Договор 6 от 30.08.2023</t>
  </si>
  <si>
    <t>30.08.2023</t>
  </si>
  <si>
    <t xml:space="preserve">
Договор 5 от 22.08.2023</t>
  </si>
  <si>
    <t>22.08.2023</t>
  </si>
  <si>
    <t xml:space="preserve">
Договор  от -</t>
  </si>
  <si>
    <t>11.08.2023</t>
  </si>
  <si>
    <t xml:space="preserve">
Договор 23 от 10.08.2023</t>
  </si>
  <si>
    <t>10.08.2023</t>
  </si>
  <si>
    <t xml:space="preserve">
Договор предоставлений услуги 27 от 31.07.2023</t>
  </si>
  <si>
    <t>01.08.2023</t>
  </si>
  <si>
    <t xml:space="preserve">
Договор предоставления услуги 26 от 26.07.2023</t>
  </si>
  <si>
    <t>29.07.2023</t>
  </si>
  <si>
    <t xml:space="preserve">
Договор 24 от 27.07.2023</t>
  </si>
  <si>
    <t>27.07.2023</t>
  </si>
  <si>
    <t>20.07.2023</t>
  </si>
  <si>
    <t xml:space="preserve">
Договор предоставлений услуги 25 от 17.07.2023</t>
  </si>
  <si>
    <t>18.07.2023</t>
  </si>
  <si>
    <t xml:space="preserve">
Договор предоставлений услуги 24 от 17.07.2023</t>
  </si>
  <si>
    <t xml:space="preserve">
Договор предоставления услуги 22 от 12.07.2023</t>
  </si>
  <si>
    <t>13.07.2023</t>
  </si>
  <si>
    <t xml:space="preserve">
Договор предоставлений услуги 23 от 12.07.2023</t>
  </si>
  <si>
    <t xml:space="preserve">
Договор предоставлений услуги 21 от 10.07.2023</t>
  </si>
  <si>
    <t>11.07.2023</t>
  </si>
  <si>
    <t xml:space="preserve">
Договор предоставлений услуги 20 от 07.07.2023</t>
  </si>
  <si>
    <t>08.07.2023</t>
  </si>
  <si>
    <t xml:space="preserve">
Договор 22 от 04.07.2023</t>
  </si>
  <si>
    <t>04.07.2023</t>
  </si>
  <si>
    <t xml:space="preserve">
Договор 21 от 04.07.2023</t>
  </si>
  <si>
    <t xml:space="preserve">
Договор предоставления услуги 19 от 28.06.2023</t>
  </si>
  <si>
    <t>29.06.2023</t>
  </si>
  <si>
    <t xml:space="preserve">
Договор 19 от 27.06.2023</t>
  </si>
  <si>
    <t>27.06.2023</t>
  </si>
  <si>
    <t xml:space="preserve">
Договор предоставления услуги 18 от 22.06.2023</t>
  </si>
  <si>
    <t>23.06.2023</t>
  </si>
  <si>
    <t>22.06.2023</t>
  </si>
  <si>
    <t xml:space="preserve">
Договор 17 от 21.06.2023</t>
  </si>
  <si>
    <t>21.06.2023</t>
  </si>
  <si>
    <t xml:space="preserve">
Договор 18 от 20.06.2023</t>
  </si>
  <si>
    <t>20.06.2023</t>
  </si>
  <si>
    <t xml:space="preserve">
Договор предоставлений услуги 17 от 07.06.2023</t>
  </si>
  <si>
    <t>08.06.2023</t>
  </si>
  <si>
    <t>31.05.2023</t>
  </si>
  <si>
    <t xml:space="preserve">
Договор предоставления услуги 15 от 26.05.2023</t>
  </si>
  <si>
    <t>27.05.2023</t>
  </si>
  <si>
    <t xml:space="preserve">
Договор предоставления услуги 13 от 10.05.2023</t>
  </si>
  <si>
    <t>11.05.2023</t>
  </si>
  <si>
    <t xml:space="preserve">
Договор 4 от 11.05.2023</t>
  </si>
  <si>
    <t xml:space="preserve">
Договор предоставлений услуги 12 от 05.05.2023</t>
  </si>
  <si>
    <t>06.05.2023</t>
  </si>
  <si>
    <t xml:space="preserve">
Договор 3 от 27.04.2023</t>
  </si>
  <si>
    <t>27.04.2023</t>
  </si>
  <si>
    <t>25.04.2023</t>
  </si>
  <si>
    <t xml:space="preserve">
Договор предоставления услуги 11 от 14.04.2023</t>
  </si>
  <si>
    <t>15.04.2023</t>
  </si>
  <si>
    <t xml:space="preserve">
Договор 16 от 14.04.2023</t>
  </si>
  <si>
    <t>14.04.2023</t>
  </si>
  <si>
    <t xml:space="preserve">
Договор предоставления услуги 9 от 12.04.2023</t>
  </si>
  <si>
    <t>13.04.2023</t>
  </si>
  <si>
    <t xml:space="preserve">
Договор предоставления услуги 10 от 12.04.2023</t>
  </si>
  <si>
    <t xml:space="preserve">
Договор предоставления услуги 8 от 10.04.2023</t>
  </si>
  <si>
    <t>11.04.2023</t>
  </si>
  <si>
    <t>Точка-банк</t>
  </si>
  <si>
    <t xml:space="preserve">
Договор 2496 от 01.11.2019</t>
  </si>
  <si>
    <t xml:space="preserve">
Договор 15 от 29.03.2023</t>
  </si>
  <si>
    <t>29.03.2023</t>
  </si>
  <si>
    <t xml:space="preserve">
Договор 2 от 23.03.2023</t>
  </si>
  <si>
    <t>23.03.2023</t>
  </si>
  <si>
    <t xml:space="preserve">
Договор 14 от 23.03.2023</t>
  </si>
  <si>
    <t xml:space="preserve">
Договор 13 от 21.03.2023</t>
  </si>
  <si>
    <t>21.03.2023</t>
  </si>
  <si>
    <t xml:space="preserve">
Договор 12 от 21.03.2023</t>
  </si>
  <si>
    <t xml:space="preserve">
Договор предоставления услуги 6 от 16.03.2023</t>
  </si>
  <si>
    <t>17.03.2023</t>
  </si>
  <si>
    <t xml:space="preserve">
Договор 11 от 13.03.2023</t>
  </si>
  <si>
    <t>13.03.2023</t>
  </si>
  <si>
    <t xml:space="preserve">
Договор 9 от 06.03.2023</t>
  </si>
  <si>
    <t>06.03.2023</t>
  </si>
  <si>
    <t xml:space="preserve">
Договор 10 от 06.03.2023</t>
  </si>
  <si>
    <t xml:space="preserve">
Договор предоставления услуги 7 от 02.03.2023</t>
  </si>
  <si>
    <t>03.03.2023</t>
  </si>
  <si>
    <t xml:space="preserve">
Договор предоставления услуги 1 от 02.03.2023</t>
  </si>
  <si>
    <t>02.03.2023</t>
  </si>
  <si>
    <t xml:space="preserve">
Договор 8 от 01.03.2023</t>
  </si>
  <si>
    <t>01.03.2023</t>
  </si>
  <si>
    <t xml:space="preserve">
Договор 7 от 22.02.2023</t>
  </si>
  <si>
    <t>22.02.2023</t>
  </si>
  <si>
    <t xml:space="preserve">
Договор 6 от 20.02.2023</t>
  </si>
  <si>
    <t>20.02.2023</t>
  </si>
  <si>
    <t>13.02.2023</t>
  </si>
  <si>
    <t xml:space="preserve">
Договор 5 от 10.02.2023</t>
  </si>
  <si>
    <t>10.02.2023</t>
  </si>
  <si>
    <t xml:space="preserve">
Договор предоставлений услуги 5 от 07.02.2023</t>
  </si>
  <si>
    <t>08.02.2023</t>
  </si>
  <si>
    <t xml:space="preserve">
Договор предлоставления услуги 4 от 31.01.2023</t>
  </si>
  <si>
    <t>01.02.2023</t>
  </si>
  <si>
    <t xml:space="preserve">
Договор 4 от 01.02.2023</t>
  </si>
  <si>
    <t xml:space="preserve">
Договор 3 от 31.01.2023</t>
  </si>
  <si>
    <t>31.01.2023</t>
  </si>
  <si>
    <t xml:space="preserve">
Договор предоставления услуги 3 от 23.01.2023</t>
  </si>
  <si>
    <t>24.01.2023</t>
  </si>
  <si>
    <t xml:space="preserve">
Договор 2 от 19.01.2023</t>
  </si>
  <si>
    <t>19.01.2023</t>
  </si>
  <si>
    <t xml:space="preserve">
Договор предоставления услуги 2 от 16.01.2023</t>
  </si>
  <si>
    <t>18.01.2023</t>
  </si>
  <si>
    <t xml:space="preserve">
Договор 1 от 18.01.2023</t>
  </si>
  <si>
    <t xml:space="preserve">
Договор предоставления услуги 1 от 10.01.2023</t>
  </si>
  <si>
    <t>11.01.2023</t>
  </si>
  <si>
    <t>сумма</t>
  </si>
  <si>
    <t>РЦПОИ (Договор 20 от 28.06.2023)</t>
  </si>
  <si>
    <t>Поручительство</t>
  </si>
  <si>
    <t>предоставление зала</t>
  </si>
  <si>
    <t>часов</t>
  </si>
  <si>
    <t>предоставление оборудования</t>
  </si>
  <si>
    <t>Предоставление презентационного оборудования (9 договоров)</t>
  </si>
  <si>
    <t>возврат госпошлины</t>
  </si>
  <si>
    <t>Возврат госпошлины</t>
  </si>
  <si>
    <t>Предоставление конференц-зала (4 договора)</t>
  </si>
  <si>
    <t>Предоставление конференц-зала (6 договоров)</t>
  </si>
  <si>
    <t>Предоставление конференц-зала (бесплатно для СО НКО) (3 договора)</t>
  </si>
  <si>
    <t>Остаточ-ная стоимость</t>
  </si>
  <si>
    <t>Ресстровый номер (при наличии)</t>
  </si>
  <si>
    <t>Оставшийся срок использования, мес.</t>
  </si>
  <si>
    <t>Адрес учета</t>
  </si>
  <si>
    <t>ул. Коммунальная, 26</t>
  </si>
  <si>
    <t>Регламент предоставления поручительств за счет средств Гарантийного фонда муниципального автономного  учреждения города Красноярска «Центр содействия малому и среднему предпринимательству» (ред. от 27.03.2023)</t>
  </si>
  <si>
    <t>42205810812000000150</t>
  </si>
  <si>
    <t>4220581044900000005</t>
  </si>
  <si>
    <t>4220581061223000002</t>
  </si>
  <si>
    <t>БВ-Ю-810/0000-00150-23</t>
  </si>
  <si>
    <t>Д234900/0272</t>
  </si>
  <si>
    <t>3/2023</t>
  </si>
  <si>
    <t>стоимость, рублей</t>
  </si>
  <si>
    <t>Коммунальная 26</t>
  </si>
  <si>
    <t>Никитина 3б</t>
  </si>
  <si>
    <t>объем, м2</t>
  </si>
  <si>
    <t>Содержание ОИ МКД</t>
  </si>
  <si>
    <t>цена, руб. с НДС</t>
  </si>
  <si>
    <t>объем, кВт</t>
  </si>
  <si>
    <t>Энергосбыт</t>
  </si>
  <si>
    <t>объем, м3</t>
  </si>
  <si>
    <t>Вывоз ТКО</t>
  </si>
  <si>
    <t>корректировка НВЦСВ 2022</t>
  </si>
  <si>
    <t>пени</t>
  </si>
  <si>
    <t>корректировка 2022</t>
  </si>
  <si>
    <t>НВЦСВ</t>
  </si>
  <si>
    <t>водоотведение</t>
  </si>
  <si>
    <t>вода питьевая</t>
  </si>
  <si>
    <t>ООО "КрасКом"</t>
  </si>
  <si>
    <t>горячая вода (компонент на теплоноситель)</t>
  </si>
  <si>
    <t>т/энергия в воде</t>
  </si>
  <si>
    <t>объем, Гкал</t>
  </si>
  <si>
    <t>горячая вода (компонент на тепловую энергию)</t>
  </si>
  <si>
    <t>АО "Енисейская ТГК (ТГК-13)"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</si>
  <si>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</si>
  <si>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</si>
  <si>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</si>
  <si>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</si>
  <si>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</si>
  <si>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</si>
  <si>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</si>
  <si>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</si>
  <si>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</si>
  <si>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</si>
  <si>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</si>
  <si>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</si>
  <si>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Тариф, рублей</t>
  </si>
  <si>
    <t>электроэнергия</t>
  </si>
  <si>
    <t>вывоз ТКО</t>
  </si>
  <si>
    <t>ХВС</t>
  </si>
  <si>
    <t>ГВС</t>
  </si>
  <si>
    <t>тепло</t>
  </si>
  <si>
    <t>Коммунальная, 26</t>
  </si>
  <si>
    <t>Никитина, 3б</t>
  </si>
  <si>
    <t>КРК + Росстех</t>
  </si>
  <si>
    <t>КрасКом</t>
  </si>
  <si>
    <t>ТГК-13</t>
  </si>
  <si>
    <t>разница</t>
  </si>
  <si>
    <t>должно быть</t>
  </si>
  <si>
    <t>Всего КУ</t>
  </si>
  <si>
    <t>ремонт помещения</t>
  </si>
  <si>
    <t>ОПС</t>
  </si>
  <si>
    <t>уборка помещения</t>
  </si>
  <si>
    <t>содержание</t>
  </si>
  <si>
    <t>Всего содержание ЖФ</t>
  </si>
  <si>
    <t>Всего ЖКУ</t>
  </si>
  <si>
    <t>МАУ "ЦС МСП", 2023 год</t>
  </si>
  <si>
    <t>Расходы на содержание транспортных средств (в рублях)</t>
  </si>
  <si>
    <t>0100</t>
  </si>
  <si>
    <t>0200</t>
  </si>
  <si>
    <t>0300</t>
  </si>
  <si>
    <t>в связи с невыполнением государственного задания</t>
  </si>
  <si>
    <t>Объем кредиторской задолженности на начало года всего</t>
  </si>
  <si>
    <t>Объем кредиторской задолженности на конец отчетного периода всего</t>
  </si>
  <si>
    <t>из нее срок оплаты наступает в: 1 квартале, всего</t>
  </si>
  <si>
    <t>Объем отложенных обязательств учреждения всего</t>
  </si>
  <si>
    <t>в том числе: по оплате труда</t>
  </si>
  <si>
    <t>0805</t>
  </si>
  <si>
    <t>0806</t>
  </si>
  <si>
    <t>0807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</si>
  <si>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</si>
  <si>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</si>
  <si>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</si>
  <si>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</si>
  <si>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</si>
  <si>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</si>
  <si>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</si>
  <si>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</si>
  <si>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</si>
  <si>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0400</t>
  </si>
  <si>
    <t>0500</t>
  </si>
  <si>
    <t>0501</t>
  </si>
  <si>
    <t>0502</t>
  </si>
  <si>
    <t>0600</t>
  </si>
  <si>
    <t>0610</t>
  </si>
  <si>
    <t>0700</t>
  </si>
  <si>
    <t>0800</t>
  </si>
  <si>
    <t>0801</t>
  </si>
  <si>
    <t>0802</t>
  </si>
  <si>
    <t>0803</t>
  </si>
  <si>
    <t>0804</t>
  </si>
  <si>
    <t>Возврат государственной пошлины</t>
  </si>
  <si>
    <t>Иные поступления, всего</t>
  </si>
  <si>
    <t>1300</t>
  </si>
  <si>
    <t>из них возврат денежных обеспечений</t>
  </si>
  <si>
    <t>1301</t>
  </si>
  <si>
    <t>возврат денежных средств с депозитных счетов</t>
  </si>
  <si>
    <t>1302</t>
  </si>
  <si>
    <t>нефинансовые активы</t>
  </si>
  <si>
    <t>&lt;23&gt; Вид банковского счета, открытого в кредитной организации (например, номинальный счет, счет эскроу, публичный депозитный счет).</t>
  </si>
  <si>
    <t>&lt;24&gt; Показатели счетов в иностранной валюте, рассчитанные в рублевом эквиваленте.</t>
  </si>
  <si>
    <t>м2</t>
  </si>
  <si>
    <t>м3</t>
  </si>
  <si>
    <t>&lt;25.1&gt; Расходы, возмещенные учреждению пользователями объектов недвижимого имущества, указанных в графе 19.</t>
  </si>
  <si>
    <t>&lt;25.2&gt; Расходы учреждения на содержание объектов недвижимого имущества, указанных в графе 23.</t>
  </si>
  <si>
    <t>&lt;26&gt; Здания, строения, сооружения и иные аналогичные объекты.</t>
  </si>
  <si>
    <t>&lt;27&gt; Линии электропередачи, линии связи (в том числе линейно-кабельные сооружения), трубопроводы, автомобильные дороги, железнодорожные линии и другие подобные сооружения.</t>
  </si>
  <si>
    <t>м</t>
  </si>
  <si>
    <t>006</t>
  </si>
  <si>
    <t>шт.</t>
  </si>
  <si>
    <t>&lt;28&gt; 1 - для осуществления основной деятельности в рамках муниципального задания, "2" - для осуществления основной деятельности за плату сверх муниципального задания.</t>
  </si>
  <si>
    <t>&lt;29&gt; 3 - проведение концертно-зрелищных мероприятий и иных культурно-массовых мероприятий, 4 - проведение спортивных мероприятий, 5 - проведение конференций, семинаров, выставок, переговоров, встреч, совещаний, съездов, конгрессов, 6 - для иных мероприятий.</t>
  </si>
  <si>
    <t>за 2024 отчетный год</t>
  </si>
  <si>
    <t>по состоянию на 01.01.2025 г.**</t>
  </si>
  <si>
    <t>&lt;25&gt; Код объекта капитального строительства, объекта недвижимого имущества (при наличии).</t>
  </si>
  <si>
    <t>SHURE BLX288E/SM58-M17 вокальная двухканальная радиосистема с ручными передатчиками SM58, динамическими  кардиоидными, 662-686 МГц</t>
  </si>
  <si>
    <t>4101360015</t>
  </si>
  <si>
    <t>Система кондиционирования</t>
  </si>
  <si>
    <t>4101340002</t>
  </si>
  <si>
    <t>Система вентиляции</t>
  </si>
  <si>
    <t>4101340001</t>
  </si>
  <si>
    <t>Охранно-пожарная смгнализация по адресу: ул. Коммунальная,26</t>
  </si>
  <si>
    <t>4101280001</t>
  </si>
  <si>
    <t>Холодильник двухкамерный Бирюса Б-М153 серебристый металлик</t>
  </si>
  <si>
    <t>4101360023</t>
  </si>
  <si>
    <t>65" Телевизор Samsung UE65CU7100UXRU Crystal UHD 4K Ultra HD, черный СМАРТ ТВ, T</t>
  </si>
  <si>
    <t>4101360016</t>
  </si>
  <si>
    <t>Экран Cactus MotoExpert CS-PSME-360x360-WT, 360х360 см, 1:1, настенно-потолочный</t>
  </si>
  <si>
    <t>4101360024</t>
  </si>
  <si>
    <t>Проектор Aser X1529HK, белый</t>
  </si>
  <si>
    <t>4101360020</t>
  </si>
  <si>
    <t>Проектор Aser X1328Wi, черный</t>
  </si>
  <si>
    <t>4101360019</t>
  </si>
  <si>
    <t>4101360018</t>
  </si>
  <si>
    <t>4101360017</t>
  </si>
  <si>
    <t>Кулер HIBERG F-91FGW, напольный, электронный, сенсор, белый/черный</t>
  </si>
  <si>
    <t>Кулер StarWind SW-1012CW, напольный, компрессорный, кнопка, белый</t>
  </si>
  <si>
    <t>BENRINGER X1204USB малошумящий микшерный пульт премиум-класса</t>
  </si>
  <si>
    <t>Echo Acoustic EX115P Аккустическая система 15 (активная). 1200Вт. DSP. LF</t>
  </si>
  <si>
    <t>Витрина 945х500х2050мм</t>
  </si>
  <si>
    <t>Витрина 945х300х2050мм</t>
  </si>
  <si>
    <t>Витрина 753х953х2050мм</t>
  </si>
  <si>
    <t>Вешало для гардероба</t>
  </si>
  <si>
    <t>Стол для переговоров</t>
  </si>
  <si>
    <t>Тумба</t>
  </si>
  <si>
    <t xml:space="preserve">Стул HY-811A (LAMI-A (GREY)) без подлокотников, серый пластик, с роликами серый </t>
  </si>
  <si>
    <t>Шкаф А-310 (770*370*2000) ясень шимо</t>
  </si>
  <si>
    <t>Шкая для одежды А-307 (770*580*2000) ясень шимо</t>
  </si>
  <si>
    <t>Диван "Сенатор" 2ч-местный, к.зам.бежевый экокожа</t>
  </si>
  <si>
    <t>Диван "Сенатор" 3х-местный, к.зам.бежевый экокожа</t>
  </si>
  <si>
    <t>ул. Коммунальная,26</t>
  </si>
  <si>
    <t>ул. Коммунальная,27</t>
  </si>
  <si>
    <t>ул. Коммунальная,28</t>
  </si>
  <si>
    <t>ул. Коммунальная,29</t>
  </si>
  <si>
    <t>ул. Коммунальная,30</t>
  </si>
  <si>
    <t>ул. Коммунальная,31</t>
  </si>
  <si>
    <t>ул. Коммунальная,32</t>
  </si>
  <si>
    <t>ул. Коммунальная,33</t>
  </si>
  <si>
    <t>ул. Коммунальная,34</t>
  </si>
  <si>
    <t>ул. Коммунальная,35</t>
  </si>
  <si>
    <t>ул. Коммунальная,36</t>
  </si>
  <si>
    <t>ул. Коммунальная,37</t>
  </si>
  <si>
    <t>ул. Коммунальная,38</t>
  </si>
  <si>
    <t>ул. Коммунальная,39</t>
  </si>
  <si>
    <t>ул. Коммунальная,40</t>
  </si>
  <si>
    <t>ул. Коммунальная,41</t>
  </si>
  <si>
    <t>ул. Коммунальная,42</t>
  </si>
  <si>
    <t>ул. Коммунальная,43</t>
  </si>
  <si>
    <t>ул. Коммунальная,44</t>
  </si>
  <si>
    <t>ул. Коммунальная,45</t>
  </si>
  <si>
    <t>ул. Коммунальная,46</t>
  </si>
  <si>
    <t>ул. Коммунальная,47</t>
  </si>
  <si>
    <t>ул. Коммунальная,48</t>
  </si>
  <si>
    <t>ул. Коммунальная,49</t>
  </si>
  <si>
    <t>ул. Коммунальная,50</t>
  </si>
  <si>
    <t>ул. Коммунальная,51</t>
  </si>
  <si>
    <t>ул. Коммунальная,52</t>
  </si>
  <si>
    <t>ул. Коммунальная,53</t>
  </si>
  <si>
    <t>ул. Коммунальная,54</t>
  </si>
  <si>
    <t>ул. Коммунальная,55</t>
  </si>
  <si>
    <t>ул. Коммунальная,56</t>
  </si>
  <si>
    <t>ул. Коммунальная,57</t>
  </si>
  <si>
    <t>ул. Коммунальная,58</t>
  </si>
  <si>
    <t>ул. Коммунальная,59</t>
  </si>
  <si>
    <t>ул. Коммунальная,60</t>
  </si>
  <si>
    <t>ул. Коммунальная,61</t>
  </si>
  <si>
    <t>И.о. директора</t>
  </si>
  <si>
    <t>Транспортные средства отсутствуют</t>
  </si>
  <si>
    <t>Директор, заместители, руководители центров, главный бухгалтер,юрист-кадровик, советник</t>
  </si>
  <si>
    <t>Высокий процент выполнения услуги обусловлен тенденцией роста обращений субъектов МСП за консультационными услугами в связи с предоставлением финансовой поддержки из бюджета города в виде субсидий и грантов, а именно за разъяснениями условий проведения отбора и условий предоставления субсидии (гранта), по заполнению, подготовке необходимых документов, в том числе регистрационных</t>
  </si>
  <si>
    <t>Высокая востребованность услуги  со стороны заявителей - физических лиц, планирующих начало предпринимательской деятельности и самозанятости по социальному контракту (УСЗН)</t>
  </si>
  <si>
    <t>Количество участников мероприятий</t>
  </si>
  <si>
    <t>человек</t>
  </si>
  <si>
    <t>Высокая востребованность услуги  по мероприятиям, связанным с подготовкой годовой отчетности СО НКО</t>
  </si>
  <si>
    <t>Увеличение количества заявок от учебных заведений города на мероприятие «Час предпринимательства»</t>
  </si>
  <si>
    <t>на 1 января 2025 года</t>
  </si>
  <si>
    <t>за 2024 год (за отчетный финансовый год)</t>
  </si>
  <si>
    <t>за 2023 год (за год, предшествующий отчетному)</t>
  </si>
  <si>
    <t>42204810249000000044</t>
  </si>
  <si>
    <t>Д244900/0888</t>
  </si>
  <si>
    <t>2410001-нск-24</t>
  </si>
  <si>
    <t>41904810607132102016</t>
  </si>
  <si>
    <t>42204810712490000010</t>
  </si>
  <si>
    <t>БВ-Ю-810/1100-222696/2-24</t>
  </si>
  <si>
    <t>Руководитель департамента</t>
  </si>
  <si>
    <t>И.о. директора "МАУ "ЦС МСП"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</si>
</sst>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₽_-;\-* #,##0.00\ _₽_-;_-* &quot;-&quot;??\ _₽_-;_-@_-"/>
    <numFmt numFmtId="165" formatCode="_-* #,##0\ _₽_-;\-* #,##0\ _₽_-;_-* &quot;-&quot;??\ _₽_-;_-@_-"/>
    <numFmt numFmtId="166" formatCode="0;[Red]\-0"/>
    <numFmt numFmtId="167" formatCode="0.000"/>
    <numFmt numFmtId="168" formatCode="0.00;[Red]\-0.00"/>
    <numFmt numFmtId="169" formatCode="0.0%"/>
    <numFmt numFmtId="170" formatCode="0.0"/>
    <numFmt numFmtId="171" formatCode="_-* #,##0.0\ _₽_-;\-* #,##0.0\ _₽_-;_-* &quot;-&quot;??\ _₽_-;_-@_-"/>
    <numFmt numFmtId="172" formatCode="_-* #,##0.000\ _₽_-;\-* #,##0.000\ _₽_-;_-* &quot;-&quot;??\ _₽_-;_-@_-"/>
  </numFmts>
  <fonts count="3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trike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</cellStyleXfs>
  <cellXfs count="536">
    <xf numFmtId="0" fontId="0" fillId="0" borderId="0" xfId="0"/>
    <xf numFmtId="0" fontId="15" fillId="0" borderId="0" xfId="3" applyFont="1" applyFill="1" applyAlignment="1">
      <alignment vertical="center" wrapText="1"/>
    </xf>
    <xf numFmtId="0" fontId="13" fillId="0" borderId="4" xfId="3" applyFont="1" applyFill="1" applyBorder="1" applyAlignment="1">
      <alignment vertical="center" wrapText="1"/>
    </xf>
    <xf numFmtId="1" fontId="13" fillId="0" borderId="4" xfId="3" applyNumberFormat="1" applyFont="1" applyFill="1" applyBorder="1" applyAlignment="1">
      <alignment horizontal="center" vertical="center" wrapText="1"/>
    </xf>
    <xf numFmtId="0" fontId="13" fillId="0" borderId="4" xfId="3" applyNumberFormat="1" applyFont="1" applyFill="1" applyBorder="1" applyAlignment="1">
      <alignment vertical="center" wrapText="1"/>
    </xf>
    <xf numFmtId="0" fontId="13" fillId="0" borderId="4" xfId="3" applyNumberFormat="1" applyFont="1" applyFill="1" applyBorder="1" applyAlignment="1">
      <alignment horizontal="center" vertical="center" wrapText="1"/>
    </xf>
    <xf numFmtId="167" fontId="13" fillId="0" borderId="4" xfId="3" applyNumberFormat="1" applyFont="1" applyFill="1" applyBorder="1" applyAlignment="1">
      <alignment horizontal="right" vertical="center" wrapText="1"/>
    </xf>
    <xf numFmtId="168" fontId="13" fillId="0" borderId="4" xfId="3" applyNumberFormat="1" applyFont="1" applyFill="1" applyBorder="1" applyAlignment="1">
      <alignment horizontal="right" vertical="center" wrapText="1"/>
    </xf>
    <xf numFmtId="4" fontId="13" fillId="0" borderId="4" xfId="3" applyNumberFormat="1" applyFont="1" applyFill="1" applyBorder="1" applyAlignment="1">
      <alignment horizontal="right" vertical="center" wrapText="1"/>
    </xf>
    <xf numFmtId="0" fontId="13" fillId="0" borderId="0" xfId="3" applyFont="1" applyFill="1" applyAlignment="1">
      <alignment vertical="center" wrapText="1"/>
    </xf>
    <xf numFmtId="49" fontId="13" fillId="0" borderId="0" xfId="3" applyNumberFormat="1" applyFont="1" applyFill="1" applyAlignment="1">
      <alignment vertical="center" wrapText="1"/>
    </xf>
    <xf numFmtId="4" fontId="13" fillId="0" borderId="0" xfId="3" applyNumberFormat="1" applyFont="1" applyFill="1" applyAlignment="1">
      <alignment vertical="center" wrapText="1"/>
    </xf>
    <xf numFmtId="4" fontId="3" fillId="0" borderId="4" xfId="3" applyNumberFormat="1" applyFont="1" applyFill="1" applyBorder="1" applyAlignment="1">
      <alignment horizontal="center" vertical="center" wrapText="1"/>
    </xf>
    <xf numFmtId="0" fontId="13" fillId="0" borderId="4" xfId="3" applyNumberFormat="1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49" fontId="15" fillId="2" borderId="4" xfId="3" applyNumberFormat="1" applyFont="1" applyFill="1" applyBorder="1" applyAlignment="1">
      <alignment horizontal="center" vertical="center" wrapText="1"/>
    </xf>
    <xf numFmtId="0" fontId="15" fillId="2" borderId="4" xfId="3" applyNumberFormat="1" applyFont="1" applyFill="1" applyBorder="1" applyAlignment="1">
      <alignment horizontal="center" vertical="center" wrapText="1"/>
    </xf>
    <xf numFmtId="0" fontId="15" fillId="2" borderId="8" xfId="3" applyNumberFormat="1" applyFont="1" applyFill="1" applyBorder="1" applyAlignment="1">
      <alignment horizontal="center" vertical="center" wrapText="1"/>
    </xf>
    <xf numFmtId="0" fontId="14" fillId="2" borderId="4" xfId="3" applyNumberFormat="1" applyFont="1" applyFill="1" applyBorder="1" applyAlignment="1">
      <alignment horizontal="center" vertical="center" wrapText="1"/>
    </xf>
    <xf numFmtId="14" fontId="15" fillId="0" borderId="0" xfId="3" applyNumberFormat="1" applyFont="1" applyFill="1" applyAlignment="1">
      <alignment vertical="center" wrapText="1"/>
    </xf>
    <xf numFmtId="14" fontId="13" fillId="0" borderId="0" xfId="3" applyNumberFormat="1" applyFont="1" applyFill="1" applyAlignment="1">
      <alignment vertical="center" wrapText="1"/>
    </xf>
    <xf numFmtId="14" fontId="15" fillId="2" borderId="0" xfId="3" applyNumberFormat="1" applyFont="1" applyFill="1" applyAlignment="1">
      <alignment vertical="center" wrapText="1"/>
    </xf>
    <xf numFmtId="1" fontId="13" fillId="0" borderId="0" xfId="3" applyNumberFormat="1" applyFont="1" applyFill="1" applyAlignment="1">
      <alignment horizontal="center" vertical="center" wrapText="1"/>
    </xf>
    <xf numFmtId="164" fontId="13" fillId="0" borderId="0" xfId="2" applyFont="1" applyFill="1" applyAlignment="1">
      <alignment vertical="center" wrapText="1"/>
    </xf>
    <xf numFmtId="165" fontId="13" fillId="0" borderId="0" xfId="2" applyNumberFormat="1" applyFont="1" applyFill="1" applyAlignment="1">
      <alignment vertical="center" wrapText="1"/>
    </xf>
    <xf numFmtId="165" fontId="13" fillId="0" borderId="4" xfId="2" applyNumberFormat="1" applyFont="1" applyFill="1" applyBorder="1" applyAlignment="1">
      <alignment vertical="center" wrapText="1"/>
    </xf>
    <xf numFmtId="164" fontId="13" fillId="0" borderId="4" xfId="2" applyFont="1" applyFill="1" applyBorder="1" applyAlignment="1">
      <alignment vertical="center" wrapText="1"/>
    </xf>
    <xf numFmtId="0" fontId="15" fillId="2" borderId="5" xfId="3" applyFont="1" applyFill="1" applyBorder="1" applyAlignment="1">
      <alignment horizontal="center" vertical="center" wrapText="1"/>
    </xf>
    <xf numFmtId="49" fontId="15" fillId="2" borderId="5" xfId="3" applyNumberFormat="1" applyFont="1" applyFill="1" applyBorder="1" applyAlignment="1">
      <alignment horizontal="center" vertical="center" wrapText="1"/>
    </xf>
    <xf numFmtId="0" fontId="15" fillId="2" borderId="5" xfId="3" applyNumberFormat="1" applyFont="1" applyFill="1" applyBorder="1" applyAlignment="1">
      <alignment horizontal="center" vertical="center" wrapText="1"/>
    </xf>
    <xf numFmtId="0" fontId="15" fillId="2" borderId="10" xfId="3" applyNumberFormat="1" applyFont="1" applyFill="1" applyBorder="1" applyAlignment="1">
      <alignment horizontal="center" vertical="center" wrapText="1"/>
    </xf>
    <xf numFmtId="0" fontId="14" fillId="2" borderId="5" xfId="3" applyNumberFormat="1" applyFont="1" applyFill="1" applyBorder="1" applyAlignment="1">
      <alignment horizontal="center" vertical="center" wrapText="1"/>
    </xf>
    <xf numFmtId="164" fontId="13" fillId="0" borderId="0" xfId="3" applyNumberFormat="1" applyFont="1" applyFill="1" applyAlignment="1">
      <alignment vertical="center" wrapText="1"/>
    </xf>
    <xf numFmtId="165" fontId="13" fillId="0" borderId="0" xfId="3" applyNumberFormat="1" applyFont="1" applyFill="1" applyAlignment="1">
      <alignment vertical="center" wrapText="1"/>
    </xf>
    <xf numFmtId="0" fontId="3" fillId="0" borderId="4" xfId="3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170" fontId="1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5" fontId="16" fillId="0" borderId="4" xfId="2" applyNumberFormat="1" applyFont="1" applyFill="1" applyBorder="1" applyAlignment="1">
      <alignment horizontal="center" vertical="center" wrapText="1"/>
    </xf>
    <xf numFmtId="164" fontId="16" fillId="0" borderId="4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69" fontId="1" fillId="0" borderId="0" xfId="4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7" fillId="0" borderId="3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18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8" fillId="0" borderId="0" xfId="0" applyFont="1" applyFill="1" applyAlignment="1">
      <alignment horizontal="left" vertical="center" indent="1"/>
    </xf>
    <xf numFmtId="4" fontId="18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 indent="1"/>
    </xf>
    <xf numFmtId="0" fontId="16" fillId="0" borderId="0" xfId="0" applyFont="1" applyFill="1" applyAlignment="1">
      <alignment vertical="top" wrapText="1"/>
    </xf>
    <xf numFmtId="0" fontId="9" fillId="0" borderId="3" xfId="0" applyFont="1" applyFill="1" applyBorder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4" fontId="22" fillId="4" borderId="4" xfId="0" applyNumberFormat="1" applyFont="1" applyFill="1" applyBorder="1" applyAlignment="1">
      <alignment vertical="center"/>
    </xf>
    <xf numFmtId="164" fontId="0" fillId="0" borderId="0" xfId="2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4" xfId="0" applyFill="1" applyBorder="1" applyAlignment="1">
      <alignment horizontal="center" vertical="center"/>
    </xf>
    <xf numFmtId="164" fontId="0" fillId="0" borderId="4" xfId="2" applyFont="1" applyFill="1" applyBorder="1" applyAlignment="1">
      <alignment horizontal="center" vertical="center"/>
    </xf>
    <xf numFmtId="4" fontId="0" fillId="0" borderId="4" xfId="0" applyNumberFormat="1" applyFill="1" applyBorder="1" applyAlignment="1">
      <alignment vertical="center"/>
    </xf>
    <xf numFmtId="0" fontId="24" fillId="0" borderId="0" xfId="0" applyFont="1" applyFill="1" applyAlignment="1">
      <alignment horizontal="center" vertical="center"/>
    </xf>
    <xf numFmtId="164" fontId="24" fillId="0" borderId="4" xfId="2" applyNumberFormat="1" applyFont="1" applyFill="1" applyBorder="1" applyAlignment="1">
      <alignment horizontal="center" vertical="center" wrapText="1"/>
    </xf>
    <xf numFmtId="164" fontId="23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4" fontId="1" fillId="0" borderId="4" xfId="0" applyNumberFormat="1" applyFont="1" applyBorder="1" applyAlignment="1">
      <alignment vertical="center" wrapText="1"/>
    </xf>
    <xf numFmtId="9" fontId="1" fillId="0" borderId="4" xfId="4" applyFont="1" applyBorder="1" applyAlignment="1">
      <alignment vertical="center" wrapText="1"/>
    </xf>
    <xf numFmtId="169" fontId="1" fillId="0" borderId="4" xfId="4" applyNumberFormat="1" applyFont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 indent="1"/>
    </xf>
    <xf numFmtId="0" fontId="1" fillId="0" borderId="0" xfId="0" applyFont="1" applyFill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65" fontId="1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16" fillId="0" borderId="4" xfId="3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6" fillId="0" borderId="4" xfId="3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3" fillId="0" borderId="4" xfId="3" applyNumberFormat="1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3" fontId="13" fillId="0" borderId="4" xfId="3" applyNumberFormat="1" applyFont="1" applyFill="1" applyBorder="1" applyAlignment="1">
      <alignment horizontal="right" vertical="center"/>
    </xf>
    <xf numFmtId="4" fontId="13" fillId="0" borderId="4" xfId="3" applyNumberFormat="1" applyFont="1" applyFill="1" applyBorder="1" applyAlignment="1">
      <alignment horizontal="right" vertical="center"/>
    </xf>
    <xf numFmtId="1" fontId="13" fillId="0" borderId="4" xfId="3" applyNumberFormat="1" applyFont="1" applyFill="1" applyBorder="1" applyAlignment="1">
      <alignment horizontal="right" vertical="center"/>
    </xf>
    <xf numFmtId="166" fontId="13" fillId="0" borderId="4" xfId="3" applyNumberFormat="1" applyFont="1" applyFill="1" applyBorder="1" applyAlignment="1">
      <alignment horizontal="center" vertical="center" wrapText="1"/>
    </xf>
    <xf numFmtId="0" fontId="13" fillId="0" borderId="0" xfId="3" applyFont="1" applyFill="1" applyAlignment="1">
      <alignment horizontal="center" vertical="center" wrapText="1"/>
    </xf>
    <xf numFmtId="0" fontId="16" fillId="0" borderId="4" xfId="3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Alignment="1">
      <alignment horizontal="center" vertical="center"/>
    </xf>
    <xf numFmtId="0" fontId="16" fillId="0" borderId="4" xfId="3" applyFont="1" applyFill="1" applyBorder="1" applyAlignment="1">
      <alignment vertical="center" wrapText="1"/>
    </xf>
    <xf numFmtId="49" fontId="16" fillId="0" borderId="4" xfId="3" applyNumberFormat="1" applyFont="1" applyFill="1" applyBorder="1" applyAlignment="1">
      <alignment horizontal="center" vertical="center"/>
    </xf>
    <xf numFmtId="0" fontId="16" fillId="0" borderId="4" xfId="3" applyFont="1" applyFill="1" applyBorder="1" applyAlignment="1">
      <alignment horizontal="center" vertical="center"/>
    </xf>
    <xf numFmtId="0" fontId="16" fillId="0" borderId="4" xfId="3" applyNumberFormat="1" applyFont="1" applyFill="1" applyBorder="1" applyAlignment="1">
      <alignment horizontal="left" vertical="center" wrapText="1"/>
    </xf>
    <xf numFmtId="0" fontId="16" fillId="0" borderId="4" xfId="3" applyNumberFormat="1" applyFont="1" applyFill="1" applyBorder="1" applyAlignment="1">
      <alignment vertical="center" wrapText="1"/>
    </xf>
    <xf numFmtId="167" fontId="16" fillId="0" borderId="4" xfId="3" applyNumberFormat="1" applyFont="1" applyFill="1" applyBorder="1" applyAlignment="1">
      <alignment horizontal="right" vertical="center" wrapText="1"/>
    </xf>
    <xf numFmtId="1" fontId="16" fillId="0" borderId="4" xfId="3" applyNumberFormat="1" applyFont="1" applyFill="1" applyBorder="1" applyAlignment="1">
      <alignment horizontal="right" vertical="center"/>
    </xf>
    <xf numFmtId="168" fontId="16" fillId="0" borderId="4" xfId="3" applyNumberFormat="1" applyFont="1" applyFill="1" applyBorder="1" applyAlignment="1">
      <alignment horizontal="right" vertical="center" wrapText="1"/>
    </xf>
    <xf numFmtId="4" fontId="16" fillId="0" borderId="4" xfId="3" applyNumberFormat="1" applyFont="1" applyFill="1" applyBorder="1" applyAlignment="1">
      <alignment horizontal="right" vertical="center"/>
    </xf>
    <xf numFmtId="166" fontId="16" fillId="0" borderId="4" xfId="3" applyNumberFormat="1" applyFont="1" applyFill="1" applyBorder="1" applyAlignment="1">
      <alignment horizontal="center" vertical="center" wrapText="1"/>
    </xf>
    <xf numFmtId="4" fontId="16" fillId="0" borderId="4" xfId="3" applyNumberFormat="1" applyFont="1" applyFill="1" applyBorder="1" applyAlignment="1">
      <alignment horizontal="right" vertical="center" wrapText="1"/>
    </xf>
    <xf numFmtId="14" fontId="16" fillId="0" borderId="0" xfId="3" applyNumberFormat="1" applyFont="1" applyFill="1" applyAlignment="1">
      <alignment vertical="center" wrapText="1"/>
    </xf>
    <xf numFmtId="1" fontId="16" fillId="0" borderId="0" xfId="3" applyNumberFormat="1" applyFont="1" applyFill="1" applyAlignment="1">
      <alignment horizontal="center" vertical="center" wrapText="1"/>
    </xf>
    <xf numFmtId="165" fontId="16" fillId="0" borderId="4" xfId="2" applyNumberFormat="1" applyFont="1" applyFill="1" applyBorder="1" applyAlignment="1">
      <alignment vertical="center" wrapText="1"/>
    </xf>
    <xf numFmtId="164" fontId="16" fillId="0" borderId="4" xfId="2" applyFont="1" applyFill="1" applyBorder="1" applyAlignment="1">
      <alignment vertical="center" wrapText="1"/>
    </xf>
    <xf numFmtId="0" fontId="16" fillId="0" borderId="0" xfId="3" applyFont="1" applyFill="1" applyAlignment="1">
      <alignment vertical="center" wrapText="1"/>
    </xf>
    <xf numFmtId="1" fontId="16" fillId="0" borderId="4" xfId="3" applyNumberFormat="1" applyFont="1" applyFill="1" applyBorder="1" applyAlignment="1">
      <alignment horizontal="center" vertical="center" wrapText="1"/>
    </xf>
    <xf numFmtId="0" fontId="16" fillId="0" borderId="4" xfId="3" applyNumberFormat="1" applyFont="1" applyFill="1" applyBorder="1" applyAlignment="1">
      <alignment horizontal="right" vertical="center" wrapText="1"/>
    </xf>
    <xf numFmtId="0" fontId="16" fillId="0" borderId="4" xfId="3" applyNumberFormat="1" applyFont="1" applyFill="1" applyBorder="1" applyAlignment="1">
      <alignment horizontal="right" vertical="center"/>
    </xf>
    <xf numFmtId="49" fontId="16" fillId="0" borderId="0" xfId="3" applyNumberFormat="1" applyFont="1" applyFill="1" applyAlignment="1">
      <alignment vertical="center" wrapText="1"/>
    </xf>
    <xf numFmtId="0" fontId="16" fillId="0" borderId="0" xfId="3" applyFont="1" applyFill="1" applyAlignment="1">
      <alignment horizontal="center" vertical="center" wrapText="1"/>
    </xf>
    <xf numFmtId="0" fontId="25" fillId="0" borderId="0" xfId="3" applyFont="1" applyFill="1" applyAlignment="1">
      <alignment vertical="center" wrapText="1"/>
    </xf>
    <xf numFmtId="0" fontId="25" fillId="2" borderId="4" xfId="3" applyFont="1" applyFill="1" applyBorder="1" applyAlignment="1">
      <alignment horizontal="center" vertical="center" wrapText="1"/>
    </xf>
    <xf numFmtId="49" fontId="25" fillId="2" borderId="4" xfId="3" applyNumberFormat="1" applyFont="1" applyFill="1" applyBorder="1" applyAlignment="1">
      <alignment horizontal="center" vertical="center" wrapText="1"/>
    </xf>
    <xf numFmtId="0" fontId="25" fillId="2" borderId="4" xfId="3" applyNumberFormat="1" applyFont="1" applyFill="1" applyBorder="1" applyAlignment="1">
      <alignment horizontal="center" vertical="center" wrapText="1"/>
    </xf>
    <xf numFmtId="0" fontId="25" fillId="2" borderId="8" xfId="3" applyNumberFormat="1" applyFont="1" applyFill="1" applyBorder="1" applyAlignment="1">
      <alignment horizontal="center" vertical="center" wrapText="1"/>
    </xf>
    <xf numFmtId="0" fontId="25" fillId="0" borderId="0" xfId="3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 wrapText="1"/>
    </xf>
    <xf numFmtId="0" fontId="0" fillId="0" borderId="4" xfId="0" applyFill="1" applyBorder="1" applyAlignment="1">
      <alignment horizontal="right" vertical="center" wrapText="1"/>
    </xf>
    <xf numFmtId="0" fontId="12" fillId="0" borderId="0" xfId="3"/>
    <xf numFmtId="4" fontId="13" fillId="0" borderId="11" xfId="3" applyNumberFormat="1" applyFont="1" applyBorder="1" applyAlignment="1">
      <alignment horizontal="right" vertical="top" wrapText="1"/>
    </xf>
    <xf numFmtId="0" fontId="13" fillId="0" borderId="11" xfId="3" applyNumberFormat="1" applyFont="1" applyBorder="1" applyAlignment="1">
      <alignment vertical="top"/>
    </xf>
    <xf numFmtId="0" fontId="13" fillId="3" borderId="11" xfId="3" applyNumberFormat="1" applyFont="1" applyFill="1" applyBorder="1" applyAlignment="1">
      <alignment vertical="top" wrapText="1"/>
    </xf>
    <xf numFmtId="0" fontId="12" fillId="0" borderId="0" xfId="3" applyAlignment="1">
      <alignment horizontal="center"/>
    </xf>
    <xf numFmtId="4" fontId="14" fillId="0" borderId="11" xfId="3" applyNumberFormat="1" applyFont="1" applyFill="1" applyBorder="1" applyAlignment="1">
      <alignment horizontal="right" vertical="top" wrapText="1"/>
    </xf>
    <xf numFmtId="0" fontId="12" fillId="0" borderId="0" xfId="3" applyFill="1"/>
    <xf numFmtId="0" fontId="13" fillId="0" borderId="11" xfId="3" applyNumberFormat="1" applyFont="1" applyFill="1" applyBorder="1" applyAlignment="1">
      <alignment vertical="top" wrapText="1"/>
    </xf>
    <xf numFmtId="0" fontId="12" fillId="0" borderId="0" xfId="3" applyAlignment="1">
      <alignment vertical="top"/>
    </xf>
    <xf numFmtId="0" fontId="12" fillId="0" borderId="0" xfId="3" applyFill="1" applyAlignment="1">
      <alignment vertical="top"/>
    </xf>
    <xf numFmtId="0" fontId="12" fillId="0" borderId="0" xfId="3" applyAlignment="1">
      <alignment vertical="top" wrapText="1"/>
    </xf>
    <xf numFmtId="0" fontId="12" fillId="0" borderId="0" xfId="3" applyFill="1" applyAlignment="1">
      <alignment vertical="top" wrapText="1"/>
    </xf>
    <xf numFmtId="0" fontId="12" fillId="0" borderId="0" xfId="3" applyAlignment="1">
      <alignment horizontal="right" vertical="top" wrapText="1"/>
    </xf>
    <xf numFmtId="0" fontId="13" fillId="3" borderId="11" xfId="3" applyNumberFormat="1" applyFont="1" applyFill="1" applyBorder="1" applyAlignment="1">
      <alignment vertical="top"/>
    </xf>
    <xf numFmtId="4" fontId="13" fillId="3" borderId="11" xfId="3" applyNumberFormat="1" applyFont="1" applyFill="1" applyBorder="1" applyAlignment="1">
      <alignment horizontal="right" vertical="top" wrapText="1"/>
    </xf>
    <xf numFmtId="0" fontId="12" fillId="3" borderId="0" xfId="3" applyFill="1" applyAlignment="1">
      <alignment vertical="top" wrapText="1"/>
    </xf>
    <xf numFmtId="0" fontId="0" fillId="0" borderId="4" xfId="0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6" fillId="0" borderId="4" xfId="3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4" fontId="16" fillId="0" borderId="0" xfId="3" applyNumberFormat="1" applyFont="1" applyFill="1" applyAlignment="1">
      <alignment vertical="center" wrapText="1"/>
    </xf>
    <xf numFmtId="3" fontId="13" fillId="0" borderId="0" xfId="3" applyNumberFormat="1" applyFont="1" applyFill="1" applyAlignment="1">
      <alignment vertical="center" wrapText="1"/>
    </xf>
    <xf numFmtId="3" fontId="16" fillId="0" borderId="0" xfId="3" applyNumberFormat="1" applyFont="1" applyFill="1" applyAlignment="1">
      <alignment vertical="center" wrapText="1"/>
    </xf>
    <xf numFmtId="165" fontId="9" fillId="0" borderId="4" xfId="2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165" fontId="9" fillId="0" borderId="4" xfId="0" applyNumberFormat="1" applyFont="1" applyFill="1" applyBorder="1" applyAlignment="1">
      <alignment horizontal="center" vertical="center" wrapText="1"/>
    </xf>
    <xf numFmtId="164" fontId="1" fillId="0" borderId="4" xfId="2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4" xfId="0" applyNumberFormat="1" applyFill="1" applyBorder="1"/>
    <xf numFmtId="164" fontId="0" fillId="0" borderId="4" xfId="2" applyFont="1" applyFill="1" applyBorder="1"/>
    <xf numFmtId="0" fontId="0" fillId="0" borderId="4" xfId="0" applyFill="1" applyBorder="1" applyAlignment="1">
      <alignment wrapText="1"/>
    </xf>
    <xf numFmtId="0" fontId="0" fillId="0" borderId="4" xfId="0" applyFill="1" applyBorder="1"/>
    <xf numFmtId="171" fontId="0" fillId="0" borderId="4" xfId="2" applyNumberFormat="1" applyFont="1" applyFill="1" applyBorder="1"/>
    <xf numFmtId="0" fontId="0" fillId="5" borderId="4" xfId="0" applyFill="1" applyBorder="1"/>
    <xf numFmtId="0" fontId="0" fillId="5" borderId="4" xfId="0" applyFill="1" applyBorder="1" applyAlignment="1">
      <alignment wrapText="1"/>
    </xf>
    <xf numFmtId="0" fontId="22" fillId="5" borderId="4" xfId="0" applyFont="1" applyFill="1" applyBorder="1"/>
    <xf numFmtId="0" fontId="0" fillId="6" borderId="4" xfId="0" applyFill="1" applyBorder="1"/>
    <xf numFmtId="0" fontId="0" fillId="6" borderId="4" xfId="0" applyFill="1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164" fontId="26" fillId="0" borderId="4" xfId="2" applyFont="1" applyFill="1" applyBorder="1"/>
    <xf numFmtId="0" fontId="22" fillId="0" borderId="0" xfId="0" applyFont="1"/>
    <xf numFmtId="172" fontId="22" fillId="5" borderId="4" xfId="2" applyNumberFormat="1" applyFont="1" applyFill="1" applyBorder="1"/>
    <xf numFmtId="0" fontId="22" fillId="5" borderId="4" xfId="0" applyFont="1" applyFill="1" applyBorder="1" applyAlignment="1">
      <alignment wrapText="1"/>
    </xf>
    <xf numFmtId="172" fontId="0" fillId="0" borderId="4" xfId="2" applyNumberFormat="1" applyFont="1" applyFill="1" applyBorder="1"/>
    <xf numFmtId="0" fontId="0" fillId="0" borderId="0" xfId="0" applyFill="1"/>
    <xf numFmtId="164" fontId="22" fillId="0" borderId="4" xfId="0" applyNumberFormat="1" applyFont="1" applyFill="1" applyBorder="1"/>
    <xf numFmtId="0" fontId="27" fillId="0" borderId="0" xfId="0" applyFont="1"/>
    <xf numFmtId="164" fontId="27" fillId="7" borderId="4" xfId="2" applyFont="1" applyFill="1" applyBorder="1"/>
    <xf numFmtId="0" fontId="27" fillId="7" borderId="4" xfId="0" applyFont="1" applyFill="1" applyBorder="1" applyAlignment="1">
      <alignment wrapText="1"/>
    </xf>
    <xf numFmtId="0" fontId="27" fillId="7" borderId="4" xfId="0" applyFont="1" applyFill="1" applyBorder="1"/>
    <xf numFmtId="164" fontId="0" fillId="0" borderId="4" xfId="2" applyFont="1" applyBorder="1"/>
    <xf numFmtId="164" fontId="26" fillId="0" borderId="4" xfId="2" applyFont="1" applyBorder="1"/>
    <xf numFmtId="172" fontId="0" fillId="0" borderId="4" xfId="0" applyNumberFormat="1" applyBorder="1"/>
    <xf numFmtId="2" fontId="0" fillId="0" borderId="4" xfId="0" applyNumberFormat="1" applyFill="1" applyBorder="1"/>
    <xf numFmtId="167" fontId="0" fillId="0" borderId="4" xfId="0" applyNumberFormat="1" applyFill="1" applyBorder="1"/>
    <xf numFmtId="164" fontId="22" fillId="5" borderId="4" xfId="0" applyNumberFormat="1" applyFont="1" applyFill="1" applyBorder="1"/>
    <xf numFmtId="164" fontId="0" fillId="5" borderId="4" xfId="0" applyNumberFormat="1" applyFill="1" applyBorder="1"/>
    <xf numFmtId="164" fontId="28" fillId="5" borderId="4" xfId="0" applyNumberFormat="1" applyFont="1" applyFill="1" applyBorder="1"/>
    <xf numFmtId="164" fontId="26" fillId="5" borderId="4" xfId="0" applyNumberFormat="1" applyFont="1" applyFill="1" applyBorder="1"/>
    <xf numFmtId="0" fontId="0" fillId="0" borderId="0" xfId="0" applyAlignment="1">
      <alignment vertical="top"/>
    </xf>
    <xf numFmtId="0" fontId="22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vertical="top"/>
    </xf>
    <xf numFmtId="164" fontId="0" fillId="0" borderId="0" xfId="0" applyNumberFormat="1"/>
    <xf numFmtId="164" fontId="22" fillId="0" borderId="4" xfId="2" applyFont="1" applyFill="1" applyBorder="1"/>
    <xf numFmtId="0" fontId="0" fillId="0" borderId="4" xfId="0" applyFill="1" applyBorder="1" applyAlignment="1">
      <alignment horizontal="right" wrapText="1"/>
    </xf>
    <xf numFmtId="0" fontId="29" fillId="0" borderId="0" xfId="0" applyFont="1" applyAlignment="1">
      <alignment vertical="center"/>
    </xf>
    <xf numFmtId="164" fontId="29" fillId="8" borderId="4" xfId="2" applyFont="1" applyFill="1" applyBorder="1" applyAlignment="1">
      <alignment vertical="center"/>
    </xf>
    <xf numFmtId="0" fontId="29" fillId="8" borderId="4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164" fontId="0" fillId="0" borderId="0" xfId="0" applyNumberFormat="1" applyAlignment="1">
      <alignment horizontal="right"/>
    </xf>
    <xf numFmtId="164" fontId="0" fillId="0" borderId="0" xfId="2" applyFont="1" applyAlignment="1">
      <alignment horizontal="right"/>
    </xf>
    <xf numFmtId="0" fontId="0" fillId="0" borderId="0" xfId="0" applyAlignment="1">
      <alignment horizontal="right"/>
    </xf>
    <xf numFmtId="0" fontId="30" fillId="0" borderId="0" xfId="0" applyFont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30" fillId="0" borderId="1" xfId="0" applyFont="1" applyBorder="1" applyAlignment="1">
      <alignment horizontal="right" vertical="center"/>
    </xf>
    <xf numFmtId="164" fontId="30" fillId="5" borderId="4" xfId="2" applyFont="1" applyFill="1" applyBorder="1" applyAlignment="1">
      <alignment vertical="center"/>
    </xf>
    <xf numFmtId="0" fontId="30" fillId="5" borderId="4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/>
    </xf>
    <xf numFmtId="0" fontId="0" fillId="0" borderId="0" xfId="0" applyFont="1"/>
    <xf numFmtId="164" fontId="8" fillId="0" borderId="0" xfId="2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164" fontId="22" fillId="0" borderId="4" xfId="2" applyFont="1" applyFill="1" applyBorder="1" applyAlignment="1">
      <alignment vertical="center"/>
    </xf>
    <xf numFmtId="164" fontId="8" fillId="0" borderId="4" xfId="2" applyFont="1" applyFill="1" applyBorder="1" applyAlignment="1">
      <alignment vertical="center"/>
    </xf>
    <xf numFmtId="0" fontId="0" fillId="0" borderId="4" xfId="0" applyFont="1" applyFill="1" applyBorder="1" applyAlignment="1">
      <alignment horizontal="right" vertical="center" wrapText="1"/>
    </xf>
    <xf numFmtId="0" fontId="31" fillId="0" borderId="0" xfId="0" applyFont="1"/>
    <xf numFmtId="0" fontId="31" fillId="0" borderId="0" xfId="0" applyFont="1" applyAlignment="1">
      <alignment wrapText="1"/>
    </xf>
    <xf numFmtId="0" fontId="29" fillId="0" borderId="0" xfId="0" applyFont="1"/>
    <xf numFmtId="0" fontId="29" fillId="0" borderId="0" xfId="0" applyFont="1" applyAlignment="1">
      <alignment wrapText="1"/>
    </xf>
    <xf numFmtId="164" fontId="29" fillId="0" borderId="0" xfId="2" applyFont="1" applyFill="1" applyBorder="1" applyAlignment="1">
      <alignment vertical="center"/>
    </xf>
    <xf numFmtId="164" fontId="31" fillId="0" borderId="0" xfId="2" applyFont="1" applyFill="1" applyBorder="1" applyAlignment="1">
      <alignment vertical="center"/>
    </xf>
    <xf numFmtId="0" fontId="31" fillId="0" borderId="0" xfId="0" applyFont="1" applyFill="1" applyBorder="1" applyAlignment="1">
      <alignment vertical="center" wrapText="1"/>
    </xf>
    <xf numFmtId="164" fontId="29" fillId="0" borderId="4" xfId="2" applyFont="1" applyFill="1" applyBorder="1" applyAlignment="1">
      <alignment vertical="center"/>
    </xf>
    <xf numFmtId="164" fontId="31" fillId="0" borderId="4" xfId="2" applyFont="1" applyFill="1" applyBorder="1" applyAlignment="1">
      <alignment vertical="center"/>
    </xf>
    <xf numFmtId="0" fontId="31" fillId="0" borderId="4" xfId="0" applyFont="1" applyFill="1" applyBorder="1" applyAlignment="1">
      <alignment vertical="center" wrapText="1"/>
    </xf>
    <xf numFmtId="164" fontId="30" fillId="5" borderId="4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/>
    <xf numFmtId="0" fontId="32" fillId="0" borderId="0" xfId="0" applyFont="1"/>
    <xf numFmtId="0" fontId="32" fillId="0" borderId="0" xfId="0" applyFont="1" applyAlignment="1"/>
    <xf numFmtId="0" fontId="32" fillId="0" borderId="0" xfId="0" applyFont="1" applyAlignment="1">
      <alignment wrapText="1"/>
    </xf>
    <xf numFmtId="4" fontId="17" fillId="0" borderId="4" xfId="0" applyNumberFormat="1" applyFont="1" applyFill="1" applyBorder="1" applyAlignment="1">
      <alignment horizontal="center" vertical="center" wrapText="1"/>
    </xf>
    <xf numFmtId="169" fontId="1" fillId="0" borderId="4" xfId="4" applyNumberFormat="1" applyFont="1" applyFill="1" applyBorder="1" applyAlignment="1">
      <alignment vertical="center" wrapText="1"/>
    </xf>
    <xf numFmtId="164" fontId="1" fillId="0" borderId="4" xfId="2" applyFont="1" applyFill="1" applyBorder="1" applyAlignment="1">
      <alignment horizontal="right" vertical="center" wrapText="1"/>
    </xf>
    <xf numFmtId="9" fontId="1" fillId="0" borderId="4" xfId="0" applyNumberFormat="1" applyFont="1" applyFill="1" applyBorder="1" applyAlignment="1">
      <alignment vertical="center" wrapText="1"/>
    </xf>
    <xf numFmtId="4" fontId="1" fillId="0" borderId="0" xfId="0" applyNumberFormat="1" applyFont="1" applyFill="1"/>
    <xf numFmtId="10" fontId="1" fillId="0" borderId="4" xfId="4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 indent="1"/>
    </xf>
    <xf numFmtId="4" fontId="1" fillId="0" borderId="4" xfId="0" applyNumberFormat="1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wrapText="1"/>
    </xf>
    <xf numFmtId="164" fontId="7" fillId="0" borderId="0" xfId="0" applyNumberFormat="1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 wrapText="1"/>
    </xf>
    <xf numFmtId="49" fontId="3" fillId="0" borderId="4" xfId="3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16" fillId="0" borderId="4" xfId="3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6" fillId="0" borderId="4" xfId="3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4" fontId="3" fillId="0" borderId="4" xfId="3" applyNumberFormat="1" applyFont="1" applyFill="1" applyBorder="1" applyAlignment="1">
      <alignment horizontal="right" vertical="center"/>
    </xf>
    <xf numFmtId="4" fontId="16" fillId="0" borderId="4" xfId="0" applyNumberFormat="1" applyFont="1" applyFill="1" applyBorder="1" applyAlignment="1">
      <alignment horizontal="center" vertical="center" wrapText="1"/>
    </xf>
    <xf numFmtId="49" fontId="16" fillId="0" borderId="4" xfId="3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4" fontId="1" fillId="0" borderId="4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10" fontId="1" fillId="0" borderId="4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 indent="2"/>
    </xf>
    <xf numFmtId="0" fontId="1" fillId="0" borderId="0" xfId="0" applyFont="1" applyFill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 wrapText="1"/>
    </xf>
    <xf numFmtId="0" fontId="18" fillId="0" borderId="0" xfId="0" applyFont="1" applyFill="1"/>
    <xf numFmtId="0" fontId="1" fillId="0" borderId="0" xfId="0" applyFont="1" applyFill="1"/>
    <xf numFmtId="0" fontId="1" fillId="0" borderId="5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left" vertical="center" wrapText="1" indent="2"/>
    </xf>
    <xf numFmtId="10" fontId="1" fillId="0" borderId="0" xfId="0" applyNumberFormat="1" applyFont="1" applyFill="1"/>
    <xf numFmtId="0" fontId="1" fillId="0" borderId="4" xfId="0" applyFont="1" applyFill="1" applyBorder="1" applyAlignment="1">
      <alignment horizontal="left" vertical="center" wrapText="1" indent="1"/>
    </xf>
    <xf numFmtId="0" fontId="1" fillId="0" borderId="9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left" vertical="center" wrapText="1" indent="1"/>
    </xf>
    <xf numFmtId="0" fontId="1" fillId="0" borderId="10" xfId="0" applyFont="1" applyFill="1" applyBorder="1" applyAlignment="1">
      <alignment horizontal="left" vertical="center" wrapText="1" indent="1"/>
    </xf>
    <xf numFmtId="0" fontId="1" fillId="0" borderId="4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left" vertical="center" indent="2"/>
    </xf>
    <xf numFmtId="0" fontId="1" fillId="0" borderId="3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left" vertical="center" indent="2"/>
    </xf>
    <xf numFmtId="0" fontId="18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16" fillId="0" borderId="3" xfId="0" applyFont="1" applyFill="1" applyBorder="1" applyAlignment="1">
      <alignment horizontal="left" vertical="top" wrapText="1"/>
    </xf>
    <xf numFmtId="14" fontId="1" fillId="0" borderId="4" xfId="0" applyNumberFormat="1" applyFont="1" applyFill="1" applyBorder="1" applyAlignment="1">
      <alignment horizontal="left" vertical="center" indent="2"/>
    </xf>
    <xf numFmtId="0" fontId="1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indent="2"/>
    </xf>
    <xf numFmtId="0" fontId="4" fillId="0" borderId="4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49" fontId="1" fillId="0" borderId="8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vertical="center" wrapText="1"/>
    </xf>
    <xf numFmtId="169" fontId="1" fillId="0" borderId="5" xfId="4" applyNumberFormat="1" applyFont="1" applyBorder="1" applyAlignment="1">
      <alignment horizontal="right" vertical="center" wrapText="1"/>
    </xf>
    <xf numFmtId="169" fontId="1" fillId="0" borderId="7" xfId="4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" fillId="0" borderId="4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10" fontId="1" fillId="0" borderId="4" xfId="0" applyNumberFormat="1" applyFont="1" applyFill="1" applyBorder="1" applyAlignment="1">
      <alignment vertical="center" wrapText="1"/>
    </xf>
    <xf numFmtId="10" fontId="1" fillId="0" borderId="5" xfId="4" applyNumberFormat="1" applyFont="1" applyFill="1" applyBorder="1" applyAlignment="1">
      <alignment horizontal="right" vertical="center" wrapText="1"/>
    </xf>
    <xf numFmtId="10" fontId="1" fillId="0" borderId="7" xfId="4" applyNumberFormat="1" applyFon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wrapText="1" indent="4"/>
    </xf>
    <xf numFmtId="0" fontId="16" fillId="0" borderId="2" xfId="0" applyFont="1" applyFill="1" applyBorder="1" applyAlignment="1">
      <alignment horizontal="left" vertical="center" wrapText="1" indent="4"/>
    </xf>
    <xf numFmtId="0" fontId="16" fillId="0" borderId="8" xfId="0" applyFont="1" applyFill="1" applyBorder="1" applyAlignment="1">
      <alignment horizontal="left" vertical="center" wrapText="1" indent="4"/>
    </xf>
    <xf numFmtId="0" fontId="23" fillId="0" borderId="4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indent="4"/>
    </xf>
    <xf numFmtId="0" fontId="16" fillId="0" borderId="2" xfId="0" applyFont="1" applyFill="1" applyBorder="1" applyAlignment="1">
      <alignment horizontal="left" vertical="center" indent="4"/>
    </xf>
    <xf numFmtId="0" fontId="16" fillId="0" borderId="8" xfId="0" applyFont="1" applyFill="1" applyBorder="1" applyAlignment="1">
      <alignment horizontal="left" vertical="center" indent="4"/>
    </xf>
    <xf numFmtId="0" fontId="16" fillId="0" borderId="6" xfId="0" applyFont="1" applyFill="1" applyBorder="1" applyAlignment="1">
      <alignment horizontal="left" vertical="center" indent="1"/>
    </xf>
    <xf numFmtId="0" fontId="16" fillId="0" borderId="2" xfId="0" applyFont="1" applyFill="1" applyBorder="1" applyAlignment="1">
      <alignment horizontal="left" vertical="center" indent="1"/>
    </xf>
    <xf numFmtId="0" fontId="16" fillId="0" borderId="8" xfId="0" applyFont="1" applyFill="1" applyBorder="1" applyAlignment="1">
      <alignment horizontal="left" vertical="center" indent="1"/>
    </xf>
    <xf numFmtId="0" fontId="16" fillId="0" borderId="6" xfId="0" applyFont="1" applyFill="1" applyBorder="1" applyAlignment="1">
      <alignment horizontal="left" vertical="center" wrapText="1" indent="1"/>
    </xf>
    <xf numFmtId="0" fontId="16" fillId="0" borderId="2" xfId="0" applyFont="1" applyFill="1" applyBorder="1" applyAlignment="1">
      <alignment horizontal="left" vertical="center" wrapText="1" indent="1"/>
    </xf>
    <xf numFmtId="0" fontId="16" fillId="0" borderId="8" xfId="0" applyFont="1" applyFill="1" applyBorder="1" applyAlignment="1">
      <alignment horizontal="left" vertical="center" wrapText="1" indent="1"/>
    </xf>
    <xf numFmtId="0" fontId="24" fillId="0" borderId="4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 indent="4"/>
    </xf>
    <xf numFmtId="0" fontId="9" fillId="0" borderId="2" xfId="0" applyFont="1" applyFill="1" applyBorder="1" applyAlignment="1">
      <alignment horizontal="left" vertical="center" wrapText="1" indent="4"/>
    </xf>
    <xf numFmtId="0" fontId="9" fillId="0" borderId="8" xfId="0" applyFont="1" applyFill="1" applyBorder="1" applyAlignment="1">
      <alignment horizontal="left" vertical="center" wrapText="1" indent="4"/>
    </xf>
    <xf numFmtId="0" fontId="9" fillId="0" borderId="6" xfId="0" applyFont="1" applyFill="1" applyBorder="1" applyAlignment="1">
      <alignment horizontal="left" vertical="center" wrapText="1" indent="1"/>
    </xf>
    <xf numFmtId="0" fontId="9" fillId="0" borderId="2" xfId="0" applyFont="1" applyFill="1" applyBorder="1" applyAlignment="1">
      <alignment horizontal="left" vertical="center" wrapText="1" indent="1"/>
    </xf>
    <xf numFmtId="0" fontId="9" fillId="0" borderId="8" xfId="0" applyFont="1" applyFill="1" applyBorder="1" applyAlignment="1">
      <alignment horizontal="left" vertical="center" wrapText="1" indent="1"/>
    </xf>
    <xf numFmtId="0" fontId="9" fillId="0" borderId="4" xfId="0" applyFont="1" applyFill="1" applyBorder="1" applyAlignment="1">
      <alignment horizontal="left" vertical="center" wrapText="1" indent="4"/>
    </xf>
    <xf numFmtId="0" fontId="9" fillId="0" borderId="4" xfId="0" applyFont="1" applyFill="1" applyBorder="1" applyAlignment="1">
      <alignment horizontal="left" vertical="center" wrapText="1" inden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 indent="2"/>
    </xf>
    <xf numFmtId="0" fontId="1" fillId="0" borderId="4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 indent="1"/>
    </xf>
    <xf numFmtId="0" fontId="1" fillId="0" borderId="8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left" vertical="center" wrapText="1" indent="1"/>
    </xf>
    <xf numFmtId="0" fontId="7" fillId="0" borderId="8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left" vertical="center" indent="1"/>
    </xf>
    <xf numFmtId="0" fontId="7" fillId="0" borderId="4" xfId="0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vertical="center"/>
    </xf>
    <xf numFmtId="49" fontId="7" fillId="0" borderId="6" xfId="0" applyNumberFormat="1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vertical="center"/>
    </xf>
    <xf numFmtId="49" fontId="7" fillId="0" borderId="8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 wrapText="1"/>
    </xf>
    <xf numFmtId="0" fontId="16" fillId="0" borderId="4" xfId="3" applyNumberFormat="1" applyFont="1" applyFill="1" applyBorder="1" applyAlignment="1">
      <alignment horizontal="left" vertical="center" wrapText="1" indent="2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 indent="2"/>
    </xf>
    <xf numFmtId="4" fontId="16" fillId="0" borderId="4" xfId="3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 indent="3"/>
    </xf>
    <xf numFmtId="0" fontId="1" fillId="0" borderId="6" xfId="0" applyFont="1" applyFill="1" applyBorder="1" applyAlignment="1">
      <alignment horizontal="left" vertical="center" wrapText="1" indent="2"/>
    </xf>
    <xf numFmtId="0" fontId="1" fillId="0" borderId="2" xfId="0" applyFont="1" applyFill="1" applyBorder="1" applyAlignment="1">
      <alignment horizontal="left" vertical="center" wrapText="1" indent="2"/>
    </xf>
    <xf numFmtId="0" fontId="1" fillId="0" borderId="8" xfId="0" applyFont="1" applyFill="1" applyBorder="1" applyAlignment="1">
      <alignment horizontal="left" vertical="center" wrapText="1" indent="2"/>
    </xf>
    <xf numFmtId="0" fontId="1" fillId="0" borderId="6" xfId="0" applyFont="1" applyFill="1" applyBorder="1" applyAlignment="1">
      <alignment horizontal="left" vertical="center" wrapText="1" indent="3"/>
    </xf>
    <xf numFmtId="0" fontId="1" fillId="0" borderId="2" xfId="0" applyFont="1" applyFill="1" applyBorder="1" applyAlignment="1">
      <alignment horizontal="left" vertical="center" wrapText="1" indent="3"/>
    </xf>
    <xf numFmtId="0" fontId="1" fillId="0" borderId="8" xfId="0" applyFont="1" applyFill="1" applyBorder="1" applyAlignment="1">
      <alignment horizontal="left" vertical="center" wrapText="1" indent="3"/>
    </xf>
    <xf numFmtId="0" fontId="1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/>
    </xf>
    <xf numFmtId="0" fontId="14" fillId="0" borderId="11" xfId="3" applyNumberFormat="1" applyFont="1" applyFill="1" applyBorder="1" applyAlignment="1">
      <alignment vertical="top"/>
    </xf>
  </cellXfs>
  <cellStyles count="5">
    <cellStyle name="Гиперссылка" xfId="1" builtinId="8"/>
    <cellStyle name="Обычный" xfId="0" builtinId="0"/>
    <cellStyle name="Обычный 2" xfId="3" xr:uid="{00000000-0005-0000-0000-000002000000}"/>
    <cellStyle name="Процентный" xfId="4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view="pageBreakPreview" zoomScale="80" zoomScaleNormal="100" zoomScaleSheetLayoutView="80" workbookViewId="0">
      <selection activeCell="P13" sqref="P13"/>
    </sheetView>
  </sheetViews>
  <sheetFormatPr defaultColWidth="9.140625" defaultRowHeight="15" x14ac:dyDescent="0.25"/>
  <cols>
    <col min="1" max="1" width="9.28515625" style="173" bestFit="1" customWidth="1"/>
    <col min="2" max="2" width="6" style="173" customWidth="1"/>
    <col min="3" max="3" width="11.7109375" style="173" customWidth="1"/>
    <col min="4" max="4" width="7.7109375" style="173" customWidth="1"/>
    <col min="5" max="5" width="17.42578125" style="173" customWidth="1"/>
    <col min="6" max="6" width="9.28515625" style="173" bestFit="1" customWidth="1"/>
    <col min="7" max="7" width="11.85546875" style="173" bestFit="1" customWidth="1"/>
    <col min="8" max="8" width="10.140625" style="173" bestFit="1" customWidth="1"/>
    <col min="9" max="9" width="12" style="173" customWidth="1"/>
    <col min="10" max="10" width="10.28515625" style="173" bestFit="1" customWidth="1"/>
    <col min="11" max="11" width="9.5703125" style="173" bestFit="1" customWidth="1"/>
    <col min="12" max="13" width="10.140625" style="173" bestFit="1" customWidth="1"/>
    <col min="14" max="14" width="12.85546875" style="173" bestFit="1" customWidth="1"/>
    <col min="15" max="15" width="10.5703125" style="173" bestFit="1" customWidth="1"/>
    <col min="16" max="16" width="9.28515625" style="173" bestFit="1" customWidth="1"/>
    <col min="17" max="17" width="11.85546875" style="173" bestFit="1" customWidth="1"/>
    <col min="18" max="18" width="9.28515625" style="173" bestFit="1" customWidth="1"/>
    <col min="19" max="19" width="9.140625" style="173" customWidth="1"/>
    <col min="20" max="21" width="9.28515625" style="173" bestFit="1" customWidth="1"/>
    <col min="22" max="22" width="12.5703125" style="173" bestFit="1" customWidth="1"/>
    <col min="23" max="23" width="9.28515625" style="173" bestFit="1" customWidth="1"/>
    <col min="24" max="24" width="11.5703125" style="173" bestFit="1" customWidth="1"/>
    <col min="25" max="28" width="9.28515625" style="173" bestFit="1" customWidth="1"/>
    <col min="29" max="16384" width="9.140625" style="173"/>
  </cols>
  <sheetData>
    <row r="1" spans="1:18" s="163" customFormat="1" ht="12.75" x14ac:dyDescent="0.25">
      <c r="R1" s="110" t="s">
        <v>0</v>
      </c>
    </row>
    <row r="2" spans="1:18" s="163" customFormat="1" ht="12.75" x14ac:dyDescent="0.25">
      <c r="J2" s="172"/>
      <c r="K2" s="172"/>
      <c r="L2" s="172"/>
      <c r="M2" s="172"/>
      <c r="N2" s="172"/>
      <c r="O2" s="172"/>
      <c r="P2" s="172"/>
      <c r="Q2" s="172"/>
      <c r="R2" s="111" t="s">
        <v>451</v>
      </c>
    </row>
    <row r="3" spans="1:18" s="163" customFormat="1" ht="12.75" x14ac:dyDescent="0.25">
      <c r="J3" s="172"/>
      <c r="K3" s="172"/>
      <c r="L3" s="172"/>
      <c r="M3" s="172"/>
      <c r="N3" s="172"/>
      <c r="O3" s="172"/>
      <c r="P3" s="172"/>
      <c r="Q3" s="172"/>
      <c r="R3" s="111" t="s">
        <v>453</v>
      </c>
    </row>
    <row r="4" spans="1:18" s="163" customFormat="1" ht="12.75" x14ac:dyDescent="0.25">
      <c r="J4" s="172"/>
      <c r="K4" s="172"/>
      <c r="L4" s="172"/>
      <c r="M4" s="172"/>
      <c r="N4" s="172"/>
      <c r="O4" s="172"/>
      <c r="P4" s="172"/>
      <c r="Q4" s="172"/>
      <c r="R4" s="111" t="s">
        <v>1</v>
      </c>
    </row>
    <row r="5" spans="1:18" s="163" customFormat="1" ht="12.75" x14ac:dyDescent="0.25">
      <c r="J5" s="172"/>
      <c r="K5" s="172"/>
      <c r="L5" s="172"/>
      <c r="M5" s="172"/>
      <c r="N5" s="172"/>
      <c r="O5" s="172"/>
      <c r="P5" s="172"/>
      <c r="Q5" s="172"/>
      <c r="R5" s="111" t="s">
        <v>260</v>
      </c>
    </row>
    <row r="6" spans="1:18" s="163" customFormat="1" ht="12.75" x14ac:dyDescent="0.25">
      <c r="J6" s="172"/>
      <c r="K6" s="172"/>
      <c r="L6" s="172"/>
      <c r="M6" s="172"/>
      <c r="N6" s="172"/>
      <c r="O6" s="172"/>
      <c r="P6" s="172"/>
      <c r="Q6" s="172"/>
      <c r="R6" s="111" t="s">
        <v>452</v>
      </c>
    </row>
    <row r="7" spans="1:18" s="163" customFormat="1" ht="12.75" x14ac:dyDescent="0.25">
      <c r="J7" s="172"/>
      <c r="K7" s="172"/>
      <c r="L7" s="172"/>
      <c r="M7" s="172"/>
      <c r="N7" s="172"/>
      <c r="O7" s="172"/>
      <c r="P7" s="172"/>
      <c r="Q7" s="172"/>
      <c r="R7" s="111" t="s">
        <v>454</v>
      </c>
    </row>
    <row r="8" spans="1:18" s="163" customFormat="1" ht="12.75" x14ac:dyDescent="0.25"/>
    <row r="9" spans="1:18" s="156" customFormat="1" ht="18.75" customHeight="1" x14ac:dyDescent="0.25">
      <c r="A9" s="409" t="s">
        <v>263</v>
      </c>
      <c r="B9" s="409"/>
      <c r="C9" s="409"/>
      <c r="D9" s="409"/>
      <c r="K9" s="75"/>
      <c r="M9" s="75" t="s">
        <v>267</v>
      </c>
    </row>
    <row r="10" spans="1:18" x14ac:dyDescent="0.25">
      <c r="A10" s="85" t="s">
        <v>1503</v>
      </c>
      <c r="B10" s="85"/>
      <c r="C10" s="85"/>
      <c r="D10" s="85"/>
      <c r="K10" s="120"/>
      <c r="M10" s="85" t="s">
        <v>1504</v>
      </c>
    </row>
    <row r="11" spans="1:18" x14ac:dyDescent="0.25">
      <c r="A11" s="85" t="s">
        <v>985</v>
      </c>
      <c r="B11" s="85"/>
      <c r="C11" s="85"/>
      <c r="D11" s="85"/>
      <c r="K11" s="120"/>
      <c r="M11" s="85"/>
    </row>
    <row r="12" spans="1:18" ht="23.25" customHeight="1" x14ac:dyDescent="0.25">
      <c r="A12" s="162"/>
      <c r="B12" s="162"/>
      <c r="C12" s="162"/>
      <c r="D12" s="94"/>
      <c r="E12" s="121" t="s">
        <v>984</v>
      </c>
      <c r="K12" s="75"/>
      <c r="M12" s="44"/>
      <c r="N12" s="44"/>
      <c r="O12" s="44"/>
      <c r="P12" s="164" t="s">
        <v>945</v>
      </c>
    </row>
    <row r="13" spans="1:18" s="163" customFormat="1" ht="89.25" customHeight="1" x14ac:dyDescent="0.25">
      <c r="A13" s="410" t="s">
        <v>965</v>
      </c>
      <c r="B13" s="410"/>
      <c r="C13" s="410"/>
      <c r="D13" s="410"/>
      <c r="E13" s="122"/>
      <c r="K13" s="75"/>
      <c r="M13" s="123" t="s">
        <v>288</v>
      </c>
    </row>
    <row r="14" spans="1:18" s="156" customFormat="1" ht="18.75" x14ac:dyDescent="0.25">
      <c r="A14" s="161" t="s">
        <v>264</v>
      </c>
      <c r="B14" s="161"/>
      <c r="C14" s="161"/>
      <c r="D14" s="161"/>
      <c r="M14" s="159" t="s">
        <v>264</v>
      </c>
    </row>
    <row r="15" spans="1:18" s="156" customFormat="1" ht="18.75" x14ac:dyDescent="0.25"/>
    <row r="16" spans="1:18" s="156" customFormat="1" ht="18.75" x14ac:dyDescent="0.25">
      <c r="M16" s="161" t="s">
        <v>268</v>
      </c>
    </row>
    <row r="17" spans="1:18" x14ac:dyDescent="0.25">
      <c r="D17" s="163"/>
    </row>
    <row r="18" spans="1:18" s="156" customFormat="1" ht="18.75" x14ac:dyDescent="0.25">
      <c r="A18" s="402" t="s">
        <v>265</v>
      </c>
      <c r="B18" s="402"/>
      <c r="C18" s="402"/>
      <c r="D18" s="402"/>
      <c r="E18" s="402"/>
      <c r="F18" s="402"/>
      <c r="G18" s="402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</row>
    <row r="19" spans="1:18" s="156" customFormat="1" ht="18.75" x14ac:dyDescent="0.25">
      <c r="A19" s="402" t="s">
        <v>317</v>
      </c>
      <c r="B19" s="402"/>
      <c r="C19" s="402"/>
      <c r="D19" s="402"/>
      <c r="E19" s="402"/>
      <c r="F19" s="402"/>
      <c r="G19" s="402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</row>
    <row r="20" spans="1:18" s="156" customFormat="1" ht="18.75" x14ac:dyDescent="0.25">
      <c r="A20" s="402" t="s">
        <v>316</v>
      </c>
      <c r="B20" s="402"/>
      <c r="C20" s="402"/>
      <c r="D20" s="402"/>
      <c r="E20" s="402"/>
      <c r="F20" s="402"/>
      <c r="G20" s="402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</row>
    <row r="21" spans="1:18" s="156" customFormat="1" ht="18.75" x14ac:dyDescent="0.25">
      <c r="A21" s="402" t="s">
        <v>1411</v>
      </c>
      <c r="B21" s="402"/>
      <c r="C21" s="402"/>
      <c r="D21" s="402"/>
      <c r="E21" s="402"/>
      <c r="F21" s="402"/>
      <c r="G21" s="402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</row>
    <row r="22" spans="1:18" s="156" customFormat="1" ht="18.75" x14ac:dyDescent="0.25">
      <c r="A22" s="402" t="s">
        <v>1412</v>
      </c>
      <c r="B22" s="402"/>
      <c r="C22" s="402"/>
      <c r="D22" s="402"/>
      <c r="E22" s="402"/>
      <c r="F22" s="402"/>
      <c r="G22" s="40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</row>
    <row r="23" spans="1:18" x14ac:dyDescent="0.25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</row>
    <row r="24" spans="1:18" ht="39" customHeight="1" x14ac:dyDescent="0.25">
      <c r="A24" s="159" t="s">
        <v>4</v>
      </c>
      <c r="C24" s="163"/>
      <c r="D24" s="163"/>
      <c r="E24" s="412" t="s">
        <v>966</v>
      </c>
      <c r="F24" s="412"/>
      <c r="G24" s="412"/>
      <c r="H24" s="412"/>
      <c r="I24" s="412"/>
      <c r="J24" s="412"/>
      <c r="K24" s="412"/>
      <c r="L24" s="412"/>
      <c r="M24" s="412"/>
      <c r="N24" s="163"/>
      <c r="O24" s="163"/>
      <c r="P24" s="163"/>
      <c r="Q24" s="413" t="s">
        <v>2</v>
      </c>
      <c r="R24" s="413"/>
    </row>
    <row r="25" spans="1:18" x14ac:dyDescent="0.25">
      <c r="A25" s="159" t="s">
        <v>315</v>
      </c>
      <c r="C25" s="163"/>
      <c r="D25" s="163"/>
      <c r="F25" s="46"/>
      <c r="G25" s="46"/>
      <c r="H25" s="45" t="s">
        <v>920</v>
      </c>
      <c r="I25" s="46"/>
      <c r="J25" s="46"/>
      <c r="K25" s="46"/>
      <c r="L25" s="46"/>
      <c r="M25" s="46"/>
      <c r="N25" s="163"/>
      <c r="O25" s="163"/>
      <c r="P25" s="110" t="s">
        <v>319</v>
      </c>
      <c r="Q25" s="411">
        <v>45657</v>
      </c>
      <c r="R25" s="403"/>
    </row>
    <row r="26" spans="1:18" x14ac:dyDescent="0.25">
      <c r="A26" s="163"/>
      <c r="B26" s="163"/>
      <c r="C26" s="163"/>
      <c r="D26" s="163"/>
      <c r="E26" s="404" t="s">
        <v>318</v>
      </c>
      <c r="F26" s="404"/>
      <c r="G26" s="404"/>
      <c r="H26" s="404"/>
      <c r="I26" s="404"/>
      <c r="J26" s="404"/>
      <c r="K26" s="404"/>
      <c r="L26" s="404"/>
      <c r="M26" s="404"/>
      <c r="N26" s="163"/>
      <c r="O26" s="163"/>
      <c r="P26" s="110" t="s">
        <v>322</v>
      </c>
      <c r="Q26" s="405" t="s">
        <v>921</v>
      </c>
      <c r="R26" s="405"/>
    </row>
    <row r="27" spans="1:18" ht="18.75" x14ac:dyDescent="0.25">
      <c r="A27" s="159" t="s">
        <v>325</v>
      </c>
      <c r="C27" s="163"/>
      <c r="D27" s="163"/>
      <c r="E27" s="406" t="s">
        <v>924</v>
      </c>
      <c r="F27" s="406"/>
      <c r="G27" s="406"/>
      <c r="H27" s="406"/>
      <c r="I27" s="406"/>
      <c r="J27" s="406"/>
      <c r="K27" s="406"/>
      <c r="L27" s="406"/>
      <c r="M27" s="406"/>
      <c r="N27" s="163"/>
      <c r="O27" s="163"/>
      <c r="P27" s="110" t="s">
        <v>320</v>
      </c>
      <c r="Q27" s="403">
        <v>2466227579</v>
      </c>
      <c r="R27" s="403"/>
    </row>
    <row r="28" spans="1:18" ht="18.75" x14ac:dyDescent="0.25">
      <c r="A28" s="159" t="s">
        <v>5</v>
      </c>
      <c r="C28" s="163"/>
      <c r="D28" s="163"/>
      <c r="E28" s="407" t="s">
        <v>923</v>
      </c>
      <c r="F28" s="407"/>
      <c r="G28" s="407"/>
      <c r="H28" s="407"/>
      <c r="I28" s="407"/>
      <c r="J28" s="407"/>
      <c r="K28" s="407"/>
      <c r="L28" s="407"/>
      <c r="M28" s="407"/>
      <c r="N28" s="163"/>
      <c r="O28" s="163"/>
      <c r="P28" s="110" t="s">
        <v>321</v>
      </c>
      <c r="Q28" s="403">
        <v>246501001</v>
      </c>
      <c r="R28" s="403"/>
    </row>
    <row r="29" spans="1:18" x14ac:dyDescent="0.25">
      <c r="A29" s="159" t="s">
        <v>6</v>
      </c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10" t="s">
        <v>323</v>
      </c>
      <c r="Q29" s="403">
        <v>900</v>
      </c>
      <c r="R29" s="403"/>
    </row>
    <row r="30" spans="1:18" x14ac:dyDescent="0.25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10" t="s">
        <v>324</v>
      </c>
      <c r="Q30" s="405" t="s">
        <v>922</v>
      </c>
      <c r="R30" s="405"/>
    </row>
    <row r="31" spans="1:18" x14ac:dyDescent="0.25">
      <c r="A31" s="44"/>
      <c r="B31" s="44"/>
      <c r="C31" s="44"/>
      <c r="D31" s="163"/>
    </row>
    <row r="32" spans="1:18" x14ac:dyDescent="0.25">
      <c r="A32" s="159" t="s">
        <v>270</v>
      </c>
      <c r="B32" s="47"/>
      <c r="C32" s="47"/>
      <c r="D32" s="163"/>
    </row>
    <row r="33" spans="1:20" x14ac:dyDescent="0.25">
      <c r="A33" s="159" t="s">
        <v>287</v>
      </c>
      <c r="B33" s="47"/>
      <c r="C33" s="47"/>
      <c r="D33" s="163"/>
    </row>
    <row r="34" spans="1:20" x14ac:dyDescent="0.25">
      <c r="A34" s="159" t="s">
        <v>269</v>
      </c>
      <c r="D34" s="163"/>
    </row>
    <row r="35" spans="1:20" s="156" customFormat="1" ht="18.75" x14ac:dyDescent="0.25">
      <c r="A35" s="401" t="s">
        <v>266</v>
      </c>
      <c r="B35" s="401"/>
      <c r="C35" s="401"/>
      <c r="D35" s="401"/>
      <c r="E35" s="401"/>
      <c r="F35" s="401"/>
      <c r="G35" s="401"/>
      <c r="H35" s="401"/>
      <c r="I35" s="401"/>
      <c r="J35" s="401"/>
      <c r="K35" s="401"/>
      <c r="L35" s="401"/>
      <c r="M35" s="401"/>
      <c r="N35" s="401"/>
      <c r="O35" s="401"/>
      <c r="P35" s="401"/>
      <c r="Q35" s="401"/>
      <c r="R35" s="401"/>
    </row>
    <row r="36" spans="1:20" s="156" customFormat="1" ht="18.75" x14ac:dyDescent="0.25">
      <c r="A36" s="401" t="s">
        <v>289</v>
      </c>
      <c r="B36" s="401"/>
      <c r="C36" s="401"/>
      <c r="D36" s="401"/>
      <c r="E36" s="401"/>
      <c r="F36" s="401"/>
      <c r="G36" s="401"/>
      <c r="H36" s="401"/>
      <c r="I36" s="401"/>
      <c r="J36" s="401"/>
      <c r="K36" s="401"/>
      <c r="L36" s="401"/>
      <c r="M36" s="401"/>
      <c r="N36" s="401"/>
      <c r="O36" s="401"/>
      <c r="P36" s="401"/>
      <c r="Q36" s="401"/>
      <c r="R36" s="401"/>
    </row>
    <row r="37" spans="1:20" s="156" customFormat="1" ht="18.75" x14ac:dyDescent="0.25">
      <c r="A37" s="402" t="s">
        <v>290</v>
      </c>
      <c r="B37" s="402"/>
      <c r="C37" s="402"/>
      <c r="D37" s="402"/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</row>
    <row r="38" spans="1:20" s="163" customFormat="1" ht="12.75" x14ac:dyDescent="0.25"/>
    <row r="39" spans="1:20" s="163" customFormat="1" ht="79.900000000000006" customHeight="1" x14ac:dyDescent="0.25">
      <c r="A39" s="400" t="s">
        <v>471</v>
      </c>
      <c r="B39" s="400"/>
      <c r="C39" s="400"/>
      <c r="D39" s="400"/>
      <c r="E39" s="400" t="s">
        <v>271</v>
      </c>
      <c r="F39" s="400"/>
      <c r="G39" s="400"/>
      <c r="H39" s="400" t="s">
        <v>272</v>
      </c>
      <c r="I39" s="400"/>
      <c r="J39" s="400" t="s">
        <v>273</v>
      </c>
      <c r="K39" s="400"/>
      <c r="L39" s="400"/>
      <c r="M39" s="400"/>
      <c r="N39" s="400"/>
      <c r="O39" s="400"/>
      <c r="P39" s="400"/>
      <c r="Q39" s="400"/>
      <c r="R39" s="400" t="s">
        <v>276</v>
      </c>
    </row>
    <row r="40" spans="1:20" s="163" customFormat="1" ht="100.5" customHeight="1" x14ac:dyDescent="0.25">
      <c r="A40" s="400"/>
      <c r="B40" s="400"/>
      <c r="C40" s="400"/>
      <c r="D40" s="400"/>
      <c r="E40" s="400" t="s">
        <v>472</v>
      </c>
      <c r="F40" s="400" t="s">
        <v>472</v>
      </c>
      <c r="G40" s="400" t="s">
        <v>472</v>
      </c>
      <c r="H40" s="400" t="s">
        <v>472</v>
      </c>
      <c r="I40" s="400" t="s">
        <v>472</v>
      </c>
      <c r="J40" s="400" t="s">
        <v>472</v>
      </c>
      <c r="K40" s="408" t="s">
        <v>274</v>
      </c>
      <c r="L40" s="408"/>
      <c r="M40" s="400" t="s">
        <v>338</v>
      </c>
      <c r="N40" s="400" t="s">
        <v>339</v>
      </c>
      <c r="O40" s="400" t="s">
        <v>340</v>
      </c>
      <c r="P40" s="400" t="s">
        <v>341</v>
      </c>
      <c r="Q40" s="400" t="s">
        <v>342</v>
      </c>
      <c r="R40" s="400"/>
    </row>
    <row r="41" spans="1:20" s="163" customFormat="1" ht="30" customHeight="1" x14ac:dyDescent="0.25">
      <c r="A41" s="400"/>
      <c r="B41" s="400"/>
      <c r="C41" s="400"/>
      <c r="D41" s="400"/>
      <c r="E41" s="400"/>
      <c r="F41" s="400"/>
      <c r="G41" s="400"/>
      <c r="H41" s="400"/>
      <c r="I41" s="400"/>
      <c r="J41" s="400"/>
      <c r="K41" s="155" t="s">
        <v>337</v>
      </c>
      <c r="L41" s="155" t="s">
        <v>275</v>
      </c>
      <c r="M41" s="400"/>
      <c r="N41" s="400"/>
      <c r="O41" s="400"/>
      <c r="P41" s="400"/>
      <c r="Q41" s="400"/>
      <c r="R41" s="400"/>
    </row>
    <row r="42" spans="1:20" s="163" customFormat="1" ht="14.45" customHeight="1" x14ac:dyDescent="0.25">
      <c r="A42" s="400">
        <v>1</v>
      </c>
      <c r="B42" s="400"/>
      <c r="C42" s="400"/>
      <c r="D42" s="400"/>
      <c r="E42" s="155">
        <v>2</v>
      </c>
      <c r="F42" s="155">
        <v>3</v>
      </c>
      <c r="G42" s="155">
        <v>4</v>
      </c>
      <c r="H42" s="155">
        <v>5</v>
      </c>
      <c r="I42" s="155">
        <v>6</v>
      </c>
      <c r="J42" s="154">
        <v>7</v>
      </c>
      <c r="K42" s="154">
        <v>8</v>
      </c>
      <c r="L42" s="154">
        <v>9</v>
      </c>
      <c r="M42" s="154">
        <v>10</v>
      </c>
      <c r="N42" s="154">
        <v>11</v>
      </c>
      <c r="O42" s="154">
        <v>12</v>
      </c>
      <c r="P42" s="154">
        <v>13</v>
      </c>
      <c r="Q42" s="154">
        <v>14</v>
      </c>
      <c r="R42" s="154">
        <v>15</v>
      </c>
    </row>
    <row r="43" spans="1:20" s="163" customFormat="1" ht="294" x14ac:dyDescent="0.25">
      <c r="A43" s="396" t="s">
        <v>456</v>
      </c>
      <c r="B43" s="396"/>
      <c r="C43" s="396"/>
      <c r="D43" s="396"/>
      <c r="E43" s="348" t="s">
        <v>457</v>
      </c>
      <c r="F43" s="346" t="s">
        <v>299</v>
      </c>
      <c r="G43" s="346" t="s">
        <v>299</v>
      </c>
      <c r="H43" s="346" t="s">
        <v>299</v>
      </c>
      <c r="I43" s="346" t="s">
        <v>299</v>
      </c>
      <c r="J43" s="174" t="s">
        <v>1138</v>
      </c>
      <c r="K43" s="346" t="s">
        <v>458</v>
      </c>
      <c r="L43" s="346">
        <v>642</v>
      </c>
      <c r="M43" s="48">
        <v>1239</v>
      </c>
      <c r="N43" s="48">
        <v>2909</v>
      </c>
      <c r="O43" s="48" t="s">
        <v>299</v>
      </c>
      <c r="P43" s="48" t="s">
        <v>299</v>
      </c>
      <c r="Q43" s="49" t="s">
        <v>1488</v>
      </c>
      <c r="R43" s="346" t="s">
        <v>299</v>
      </c>
      <c r="S43" s="50">
        <f>N43/M43</f>
        <v>2.3478611783696528</v>
      </c>
      <c r="T43" s="50" t="e">
        <f>(N43+#REF!)/(M43+#REF!)</f>
        <v>#REF!</v>
      </c>
    </row>
    <row r="44" spans="1:20" s="163" customFormat="1" ht="213.75" x14ac:dyDescent="0.25">
      <c r="A44" s="397" t="s">
        <v>456</v>
      </c>
      <c r="B44" s="398"/>
      <c r="C44" s="398"/>
      <c r="D44" s="399"/>
      <c r="E44" s="153" t="s">
        <v>462</v>
      </c>
      <c r="F44" s="154" t="s">
        <v>299</v>
      </c>
      <c r="G44" s="154" t="s">
        <v>299</v>
      </c>
      <c r="H44" s="154" t="s">
        <v>299</v>
      </c>
      <c r="I44" s="154" t="s">
        <v>299</v>
      </c>
      <c r="J44" s="174" t="s">
        <v>1139</v>
      </c>
      <c r="K44" s="155" t="s">
        <v>458</v>
      </c>
      <c r="L44" s="155">
        <v>642</v>
      </c>
      <c r="M44" s="48">
        <v>93</v>
      </c>
      <c r="N44" s="48">
        <v>280</v>
      </c>
      <c r="O44" s="48" t="s">
        <v>299</v>
      </c>
      <c r="P44" s="48" t="s">
        <v>299</v>
      </c>
      <c r="Q44" s="152" t="s">
        <v>1489</v>
      </c>
      <c r="R44" s="155" t="s">
        <v>459</v>
      </c>
      <c r="S44" s="50">
        <f>N44/M44</f>
        <v>3.010752688172043</v>
      </c>
    </row>
    <row r="45" spans="1:20" s="163" customFormat="1" ht="94.5" x14ac:dyDescent="0.25">
      <c r="A45" s="396" t="s">
        <v>466</v>
      </c>
      <c r="B45" s="396"/>
      <c r="C45" s="396"/>
      <c r="D45" s="396"/>
      <c r="E45" s="158" t="s">
        <v>467</v>
      </c>
      <c r="F45" s="155" t="s">
        <v>299</v>
      </c>
      <c r="G45" s="155" t="s">
        <v>299</v>
      </c>
      <c r="H45" s="155" t="s">
        <v>299</v>
      </c>
      <c r="I45" s="175" t="s">
        <v>299</v>
      </c>
      <c r="J45" s="174" t="s">
        <v>1490</v>
      </c>
      <c r="K45" s="155" t="s">
        <v>1491</v>
      </c>
      <c r="L45" s="155">
        <v>792</v>
      </c>
      <c r="M45" s="48">
        <v>575</v>
      </c>
      <c r="N45" s="48">
        <v>1177</v>
      </c>
      <c r="O45" s="48" t="s">
        <v>299</v>
      </c>
      <c r="P45" s="48" t="s">
        <v>299</v>
      </c>
      <c r="Q45" s="49" t="s">
        <v>1492</v>
      </c>
      <c r="R45" s="155">
        <v>0</v>
      </c>
      <c r="S45" s="50">
        <f>N45/M45</f>
        <v>2.0469565217391303</v>
      </c>
    </row>
  </sheetData>
  <mergeCells count="42">
    <mergeCell ref="Q40:Q41"/>
    <mergeCell ref="K40:L40"/>
    <mergeCell ref="M40:M41"/>
    <mergeCell ref="Q30:R30"/>
    <mergeCell ref="A9:D9"/>
    <mergeCell ref="A18:R18"/>
    <mergeCell ref="A19:R19"/>
    <mergeCell ref="A13:D13"/>
    <mergeCell ref="Q25:R25"/>
    <mergeCell ref="A21:R21"/>
    <mergeCell ref="A22:R22"/>
    <mergeCell ref="E24:M24"/>
    <mergeCell ref="Q24:R24"/>
    <mergeCell ref="A20:R20"/>
    <mergeCell ref="Q29:R29"/>
    <mergeCell ref="E26:M26"/>
    <mergeCell ref="Q26:R26"/>
    <mergeCell ref="E27:M27"/>
    <mergeCell ref="Q27:R27"/>
    <mergeCell ref="E28:M28"/>
    <mergeCell ref="Q28:R28"/>
    <mergeCell ref="H40:H41"/>
    <mergeCell ref="I40:I41"/>
    <mergeCell ref="J40:J41"/>
    <mergeCell ref="A35:R35"/>
    <mergeCell ref="A36:R36"/>
    <mergeCell ref="A37:R37"/>
    <mergeCell ref="A39:D41"/>
    <mergeCell ref="E39:G39"/>
    <mergeCell ref="H39:I39"/>
    <mergeCell ref="J39:Q39"/>
    <mergeCell ref="R39:R41"/>
    <mergeCell ref="E40:E41"/>
    <mergeCell ref="F40:F41"/>
    <mergeCell ref="N40:N41"/>
    <mergeCell ref="O40:O41"/>
    <mergeCell ref="P40:P41"/>
    <mergeCell ref="A45:D45"/>
    <mergeCell ref="A44:D44"/>
    <mergeCell ref="A43:D43"/>
    <mergeCell ref="A42:D42"/>
    <mergeCell ref="G40:G41"/>
  </mergeCells>
  <pageMargins left="0.39370078740157483" right="0.39370078740157483" top="0.78740157480314965" bottom="0.39370078740157483" header="0.31496062992125984" footer="0.31496062992125984"/>
  <pageSetup paperSize="9" scale="73" firstPageNumber="12" fitToWidth="2" fitToHeight="200" orientation="landscape" useFirstPageNumber="1" r:id="rId1"/>
  <rowBreaks count="1" manualBreakCount="1">
    <brk id="34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5"/>
  <sheetViews>
    <sheetView view="pageBreakPreview" zoomScale="80" zoomScaleNormal="100" zoomScaleSheetLayoutView="80" workbookViewId="0">
      <selection activeCell="R19" sqref="R19"/>
    </sheetView>
  </sheetViews>
  <sheetFormatPr defaultColWidth="9.140625" defaultRowHeight="15" x14ac:dyDescent="0.25"/>
  <cols>
    <col min="1" max="1" width="9.28515625" style="115" bestFit="1" customWidth="1"/>
    <col min="2" max="2" width="18.85546875" style="115" customWidth="1"/>
    <col min="3" max="3" width="11.7109375" style="115" customWidth="1"/>
    <col min="4" max="4" width="7.7109375" style="115" customWidth="1"/>
    <col min="5" max="5" width="17.42578125" style="115" customWidth="1"/>
    <col min="6" max="6" width="9.28515625" style="115" bestFit="1" customWidth="1"/>
    <col min="7" max="7" width="11.85546875" style="115" bestFit="1" customWidth="1"/>
    <col min="8" max="8" width="10.140625" style="115" bestFit="1" customWidth="1"/>
    <col min="9" max="9" width="12" style="115" customWidth="1"/>
    <col min="10" max="10" width="10.28515625" style="115" bestFit="1" customWidth="1"/>
    <col min="11" max="11" width="9.5703125" style="115" bestFit="1" customWidth="1"/>
    <col min="12" max="13" width="10.140625" style="115" bestFit="1" customWidth="1"/>
    <col min="14" max="14" width="12.85546875" style="115" bestFit="1" customWidth="1"/>
    <col min="15" max="15" width="10.5703125" style="115" bestFit="1" customWidth="1"/>
    <col min="16" max="16" width="9.28515625" style="115" bestFit="1" customWidth="1"/>
    <col min="17" max="17" width="11.85546875" style="115" bestFit="1" customWidth="1"/>
    <col min="18" max="18" width="9.28515625" style="115" bestFit="1" customWidth="1"/>
    <col min="19" max="19" width="9.140625" style="115" customWidth="1"/>
    <col min="20" max="21" width="9.28515625" style="115" bestFit="1" customWidth="1"/>
    <col min="22" max="22" width="12.5703125" style="115" bestFit="1" customWidth="1"/>
    <col min="23" max="23" width="9.28515625" style="115" bestFit="1" customWidth="1"/>
    <col min="24" max="24" width="11.5703125" style="115" bestFit="1" customWidth="1"/>
    <col min="25" max="28" width="9.28515625" style="115" bestFit="1" customWidth="1"/>
    <col min="29" max="16384" width="9.140625" style="115"/>
  </cols>
  <sheetData>
    <row r="1" spans="1:18" s="116" customFormat="1" ht="18.75" x14ac:dyDescent="0.25">
      <c r="A1" s="401" t="s">
        <v>1093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</row>
    <row r="2" spans="1:18" s="117" customFormat="1" ht="18.75" x14ac:dyDescent="0.25"/>
    <row r="3" spans="1:18" s="117" customFormat="1" ht="18.75" x14ac:dyDescent="0.25">
      <c r="A3" s="402" t="s">
        <v>1094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</row>
    <row r="4" spans="1:18" x14ac:dyDescent="0.25">
      <c r="D4" s="114"/>
    </row>
    <row r="5" spans="1:18" ht="51.6" customHeight="1" x14ac:dyDescent="0.25">
      <c r="A5" s="400" t="s">
        <v>87</v>
      </c>
      <c r="B5" s="400"/>
      <c r="C5" s="400" t="s">
        <v>9</v>
      </c>
      <c r="D5" s="400" t="s">
        <v>88</v>
      </c>
      <c r="E5" s="400"/>
      <c r="F5" s="400"/>
      <c r="G5" s="400"/>
      <c r="H5" s="432" t="s">
        <v>89</v>
      </c>
      <c r="I5" s="432"/>
      <c r="J5" s="432"/>
      <c r="K5" s="432"/>
      <c r="L5" s="432"/>
      <c r="M5" s="400" t="s">
        <v>90</v>
      </c>
      <c r="N5" s="400"/>
      <c r="O5" s="400" t="s">
        <v>91</v>
      </c>
      <c r="P5" s="400"/>
      <c r="Q5" s="400"/>
      <c r="R5" s="400"/>
    </row>
    <row r="6" spans="1:18" ht="39.75" customHeight="1" x14ac:dyDescent="0.25">
      <c r="A6" s="400"/>
      <c r="B6" s="400"/>
      <c r="C6" s="400"/>
      <c r="D6" s="400" t="s">
        <v>92</v>
      </c>
      <c r="E6" s="400"/>
      <c r="F6" s="432" t="s">
        <v>54</v>
      </c>
      <c r="G6" s="432"/>
      <c r="H6" s="478" t="s">
        <v>93</v>
      </c>
      <c r="I6" s="432" t="s">
        <v>54</v>
      </c>
      <c r="J6" s="432"/>
      <c r="K6" s="432"/>
      <c r="L6" s="432"/>
      <c r="M6" s="432" t="s">
        <v>54</v>
      </c>
      <c r="N6" s="432"/>
      <c r="O6" s="432" t="s">
        <v>92</v>
      </c>
      <c r="P6" s="432"/>
      <c r="Q6" s="400" t="s">
        <v>54</v>
      </c>
      <c r="R6" s="400"/>
    </row>
    <row r="7" spans="1:18" ht="26.45" customHeight="1" x14ac:dyDescent="0.25">
      <c r="A7" s="400"/>
      <c r="B7" s="400"/>
      <c r="C7" s="400"/>
      <c r="D7" s="400" t="s">
        <v>15</v>
      </c>
      <c r="E7" s="112" t="s">
        <v>94</v>
      </c>
      <c r="F7" s="432" t="s">
        <v>95</v>
      </c>
      <c r="G7" s="432" t="s">
        <v>362</v>
      </c>
      <c r="H7" s="478"/>
      <c r="I7" s="432" t="s">
        <v>96</v>
      </c>
      <c r="J7" s="432"/>
      <c r="K7" s="432" t="s">
        <v>363</v>
      </c>
      <c r="L7" s="432" t="s">
        <v>364</v>
      </c>
      <c r="M7" s="432" t="s">
        <v>365</v>
      </c>
      <c r="N7" s="432" t="s">
        <v>366</v>
      </c>
      <c r="O7" s="432" t="s">
        <v>15</v>
      </c>
      <c r="P7" s="113" t="s">
        <v>94</v>
      </c>
      <c r="Q7" s="400" t="s">
        <v>95</v>
      </c>
      <c r="R7" s="400" t="s">
        <v>362</v>
      </c>
    </row>
    <row r="8" spans="1:18" ht="63.75" x14ac:dyDescent="0.25">
      <c r="A8" s="400"/>
      <c r="B8" s="400"/>
      <c r="C8" s="400"/>
      <c r="D8" s="400"/>
      <c r="E8" s="112" t="s">
        <v>361</v>
      </c>
      <c r="F8" s="432"/>
      <c r="G8" s="432"/>
      <c r="H8" s="478"/>
      <c r="I8" s="432" t="s">
        <v>15</v>
      </c>
      <c r="J8" s="113" t="s">
        <v>94</v>
      </c>
      <c r="K8" s="432"/>
      <c r="L8" s="432"/>
      <c r="M8" s="432"/>
      <c r="N8" s="432"/>
      <c r="O8" s="432"/>
      <c r="P8" s="113" t="s">
        <v>361</v>
      </c>
      <c r="Q8" s="400"/>
      <c r="R8" s="400"/>
    </row>
    <row r="9" spans="1:18" ht="63.75" x14ac:dyDescent="0.25">
      <c r="A9" s="400"/>
      <c r="B9" s="400"/>
      <c r="C9" s="400"/>
      <c r="D9" s="400"/>
      <c r="E9" s="118"/>
      <c r="F9" s="432"/>
      <c r="G9" s="432"/>
      <c r="H9" s="478"/>
      <c r="I9" s="432"/>
      <c r="J9" s="113" t="s">
        <v>361</v>
      </c>
      <c r="K9" s="432"/>
      <c r="L9" s="432"/>
      <c r="M9" s="432"/>
      <c r="N9" s="432"/>
      <c r="O9" s="432"/>
      <c r="P9" s="119"/>
      <c r="Q9" s="400"/>
      <c r="R9" s="400"/>
    </row>
    <row r="10" spans="1:18" x14ac:dyDescent="0.25">
      <c r="A10" s="432">
        <v>1</v>
      </c>
      <c r="B10" s="432"/>
      <c r="C10" s="112">
        <v>2</v>
      </c>
      <c r="D10" s="112">
        <v>3</v>
      </c>
      <c r="E10" s="112">
        <v>4</v>
      </c>
      <c r="F10" s="112">
        <v>5</v>
      </c>
      <c r="G10" s="112">
        <v>6</v>
      </c>
      <c r="H10" s="112">
        <v>7</v>
      </c>
      <c r="I10" s="112">
        <v>8</v>
      </c>
      <c r="J10" s="112">
        <v>9</v>
      </c>
      <c r="K10" s="112">
        <v>10</v>
      </c>
      <c r="L10" s="112">
        <v>11</v>
      </c>
      <c r="M10" s="112">
        <v>12</v>
      </c>
      <c r="N10" s="112">
        <v>13</v>
      </c>
      <c r="O10" s="112">
        <v>14</v>
      </c>
      <c r="P10" s="112">
        <v>15</v>
      </c>
      <c r="Q10" s="112">
        <v>16</v>
      </c>
      <c r="R10" s="112">
        <v>17</v>
      </c>
    </row>
    <row r="11" spans="1:18" ht="38.25" customHeight="1" x14ac:dyDescent="0.25">
      <c r="A11" s="477" t="s">
        <v>98</v>
      </c>
      <c r="B11" s="477"/>
      <c r="C11" s="250">
        <v>1000</v>
      </c>
      <c r="D11" s="250">
        <v>14</v>
      </c>
      <c r="E11" s="250">
        <v>14</v>
      </c>
      <c r="F11" s="250">
        <v>14</v>
      </c>
      <c r="G11" s="250">
        <v>0</v>
      </c>
      <c r="H11" s="250">
        <v>6.5</v>
      </c>
      <c r="I11" s="250">
        <v>6.5</v>
      </c>
      <c r="J11" s="250">
        <v>6.5</v>
      </c>
      <c r="K11" s="250"/>
      <c r="L11" s="250"/>
      <c r="M11" s="250"/>
      <c r="N11" s="250"/>
      <c r="O11" s="250">
        <v>1</v>
      </c>
      <c r="P11" s="250">
        <v>1</v>
      </c>
      <c r="Q11" s="250">
        <v>1</v>
      </c>
      <c r="R11" s="250"/>
    </row>
    <row r="12" spans="1:18" ht="19.149999999999999" customHeight="1" x14ac:dyDescent="0.25">
      <c r="A12" s="476" t="s">
        <v>99</v>
      </c>
      <c r="B12" s="476"/>
      <c r="C12" s="250">
        <v>1100</v>
      </c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</row>
    <row r="13" spans="1:18" ht="16.149999999999999" customHeight="1" x14ac:dyDescent="0.25">
      <c r="A13" s="476" t="s">
        <v>972</v>
      </c>
      <c r="B13" s="476"/>
      <c r="C13" s="250"/>
      <c r="D13" s="250">
        <v>14</v>
      </c>
      <c r="E13" s="250">
        <v>14</v>
      </c>
      <c r="F13" s="250">
        <v>14</v>
      </c>
      <c r="G13" s="250">
        <f>E13-F13</f>
        <v>0</v>
      </c>
      <c r="H13" s="250">
        <v>6.5</v>
      </c>
      <c r="I13" s="250">
        <v>6.5</v>
      </c>
      <c r="J13" s="250">
        <v>6.5</v>
      </c>
      <c r="K13" s="250"/>
      <c r="L13" s="250"/>
      <c r="M13" s="250"/>
      <c r="N13" s="250"/>
      <c r="O13" s="250">
        <v>1</v>
      </c>
      <c r="P13" s="250">
        <v>1</v>
      </c>
      <c r="Q13" s="250">
        <v>1</v>
      </c>
      <c r="R13" s="250"/>
    </row>
    <row r="14" spans="1:18" ht="38.25" customHeight="1" x14ac:dyDescent="0.25">
      <c r="A14" s="477" t="s">
        <v>367</v>
      </c>
      <c r="B14" s="477"/>
      <c r="C14" s="250">
        <v>2000</v>
      </c>
      <c r="D14" s="250">
        <v>1</v>
      </c>
      <c r="E14" s="250">
        <v>1</v>
      </c>
      <c r="F14" s="250">
        <v>1</v>
      </c>
      <c r="G14" s="250"/>
      <c r="H14" s="250">
        <v>0.4</v>
      </c>
      <c r="I14" s="250">
        <v>0.4</v>
      </c>
      <c r="J14" s="250">
        <v>0.4</v>
      </c>
      <c r="K14" s="250"/>
      <c r="L14" s="250"/>
      <c r="M14" s="250"/>
      <c r="N14" s="250"/>
      <c r="O14" s="250">
        <v>0</v>
      </c>
      <c r="P14" s="250">
        <v>0</v>
      </c>
      <c r="Q14" s="250">
        <v>0</v>
      </c>
      <c r="R14" s="250"/>
    </row>
    <row r="15" spans="1:18" ht="18.600000000000001" customHeight="1" x14ac:dyDescent="0.25">
      <c r="A15" s="476" t="s">
        <v>99</v>
      </c>
      <c r="B15" s="476"/>
      <c r="C15" s="250">
        <v>2100</v>
      </c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</row>
    <row r="16" spans="1:18" ht="16.149999999999999" customHeight="1" x14ac:dyDescent="0.25">
      <c r="A16" s="476" t="s">
        <v>973</v>
      </c>
      <c r="B16" s="476"/>
      <c r="C16" s="250"/>
      <c r="D16" s="250">
        <v>1</v>
      </c>
      <c r="E16" s="250">
        <v>1</v>
      </c>
      <c r="F16" s="250">
        <v>1</v>
      </c>
      <c r="G16" s="250"/>
      <c r="H16" s="250">
        <v>0.4</v>
      </c>
      <c r="I16" s="250">
        <v>0.4</v>
      </c>
      <c r="J16" s="250">
        <v>0.4</v>
      </c>
      <c r="K16" s="250"/>
      <c r="L16" s="250"/>
      <c r="M16" s="250"/>
      <c r="N16" s="250"/>
      <c r="O16" s="250">
        <v>0</v>
      </c>
      <c r="P16" s="250">
        <v>0</v>
      </c>
      <c r="Q16" s="250">
        <v>0</v>
      </c>
      <c r="R16" s="250"/>
    </row>
    <row r="17" spans="1:18" ht="50.25" customHeight="1" x14ac:dyDescent="0.25">
      <c r="A17" s="477" t="s">
        <v>368</v>
      </c>
      <c r="B17" s="477"/>
      <c r="C17" s="250">
        <v>3000</v>
      </c>
      <c r="D17" s="250">
        <v>8</v>
      </c>
      <c r="E17" s="250">
        <v>8</v>
      </c>
      <c r="F17" s="250">
        <v>8</v>
      </c>
      <c r="G17" s="250">
        <v>0</v>
      </c>
      <c r="H17" s="250">
        <v>2.9</v>
      </c>
      <c r="I17" s="250">
        <v>2.6</v>
      </c>
      <c r="J17" s="250">
        <v>2.6</v>
      </c>
      <c r="K17" s="250"/>
      <c r="L17" s="250">
        <v>0.3</v>
      </c>
      <c r="M17" s="250"/>
      <c r="N17" s="250"/>
      <c r="O17" s="250">
        <v>1.45</v>
      </c>
      <c r="P17" s="250">
        <v>1.45</v>
      </c>
      <c r="Q17" s="250">
        <v>1.45</v>
      </c>
      <c r="R17" s="250"/>
    </row>
    <row r="18" spans="1:18" ht="18" customHeight="1" x14ac:dyDescent="0.25">
      <c r="A18" s="476" t="s">
        <v>99</v>
      </c>
      <c r="B18" s="476"/>
      <c r="C18" s="250">
        <v>3100</v>
      </c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</row>
    <row r="19" spans="1:18" ht="57.75" customHeight="1" x14ac:dyDescent="0.25">
      <c r="A19" s="474" t="s">
        <v>1487</v>
      </c>
      <c r="B19" s="475"/>
      <c r="C19" s="250"/>
      <c r="D19" s="250">
        <v>8</v>
      </c>
      <c r="E19" s="250">
        <v>8</v>
      </c>
      <c r="F19" s="250">
        <v>8</v>
      </c>
      <c r="G19" s="250">
        <v>0</v>
      </c>
      <c r="H19" s="250">
        <v>2.9</v>
      </c>
      <c r="I19" s="250">
        <v>2.6</v>
      </c>
      <c r="J19" s="250">
        <v>2.6</v>
      </c>
      <c r="K19" s="250"/>
      <c r="L19" s="250">
        <v>0.3</v>
      </c>
      <c r="M19" s="250"/>
      <c r="N19" s="250"/>
      <c r="O19" s="250">
        <v>1.45</v>
      </c>
      <c r="P19" s="250">
        <v>1.45</v>
      </c>
      <c r="Q19" s="250">
        <v>1.45</v>
      </c>
      <c r="R19" s="250"/>
    </row>
    <row r="20" spans="1:18" s="173" customFormat="1" x14ac:dyDescent="0.25">
      <c r="A20" s="473" t="s">
        <v>20</v>
      </c>
      <c r="B20" s="473"/>
      <c r="C20" s="250">
        <v>9000</v>
      </c>
      <c r="D20" s="250">
        <f>D17+D14+D11</f>
        <v>23</v>
      </c>
      <c r="E20" s="250">
        <f t="shared" ref="E20:R20" si="0">E17+E14+E11</f>
        <v>23</v>
      </c>
      <c r="F20" s="250">
        <f t="shared" si="0"/>
        <v>23</v>
      </c>
      <c r="G20" s="250">
        <f>G17+G14+G11</f>
        <v>0</v>
      </c>
      <c r="H20" s="250">
        <v>9.8000000000000007</v>
      </c>
      <c r="I20" s="250">
        <f>I17+I14+I11</f>
        <v>9.5</v>
      </c>
      <c r="J20" s="250">
        <f t="shared" si="0"/>
        <v>9.5</v>
      </c>
      <c r="K20" s="250">
        <f t="shared" si="0"/>
        <v>0</v>
      </c>
      <c r="L20" s="250">
        <f t="shared" si="0"/>
        <v>0.3</v>
      </c>
      <c r="M20" s="250">
        <f t="shared" si="0"/>
        <v>0</v>
      </c>
      <c r="N20" s="250">
        <f t="shared" si="0"/>
        <v>0</v>
      </c>
      <c r="O20" s="250">
        <f t="shared" si="0"/>
        <v>2.4500000000000002</v>
      </c>
      <c r="P20" s="250">
        <f t="shared" si="0"/>
        <v>2.4500000000000002</v>
      </c>
      <c r="Q20" s="250">
        <f t="shared" si="0"/>
        <v>2.4500000000000002</v>
      </c>
      <c r="R20" s="250">
        <f t="shared" si="0"/>
        <v>0</v>
      </c>
    </row>
    <row r="21" spans="1:18" ht="30.75" customHeight="1" x14ac:dyDescent="0.25">
      <c r="A21" s="173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</row>
    <row r="22" spans="1:18" ht="36.75" customHeight="1" x14ac:dyDescent="0.25">
      <c r="A22" s="463" t="s">
        <v>120</v>
      </c>
      <c r="B22" s="463"/>
      <c r="C22" s="463"/>
      <c r="D22" s="463"/>
      <c r="E22" s="463"/>
      <c r="F22" s="463"/>
      <c r="G22" s="463"/>
      <c r="H22" s="463"/>
      <c r="I22" s="463"/>
      <c r="J22" s="463"/>
      <c r="K22" s="463"/>
      <c r="L22" s="463"/>
      <c r="M22" s="463"/>
      <c r="N22" s="463"/>
      <c r="O22" s="463"/>
    </row>
    <row r="23" spans="1:18" ht="21" customHeight="1" x14ac:dyDescent="0.25">
      <c r="A23" s="471" t="s">
        <v>311</v>
      </c>
      <c r="B23" s="471"/>
      <c r="C23" s="471"/>
      <c r="D23" s="471"/>
      <c r="E23" s="471"/>
      <c r="F23" s="471"/>
      <c r="G23" s="471"/>
      <c r="H23" s="471"/>
      <c r="I23" s="471"/>
      <c r="J23" s="471"/>
      <c r="K23" s="471"/>
      <c r="L23" s="471"/>
      <c r="M23" s="471"/>
      <c r="N23" s="471"/>
      <c r="O23" s="471"/>
    </row>
    <row r="24" spans="1:18" ht="37.5" customHeight="1" x14ac:dyDescent="0.25">
      <c r="A24" s="463" t="s">
        <v>121</v>
      </c>
      <c r="B24" s="463"/>
      <c r="C24" s="463"/>
      <c r="D24" s="463"/>
      <c r="E24" s="463"/>
      <c r="F24" s="463"/>
      <c r="G24" s="463"/>
      <c r="H24" s="463"/>
      <c r="I24" s="463"/>
      <c r="J24" s="463"/>
      <c r="K24" s="463"/>
      <c r="L24" s="463"/>
      <c r="M24" s="463"/>
      <c r="N24" s="463"/>
      <c r="O24" s="463"/>
    </row>
    <row r="25" spans="1:18" ht="31.5" customHeight="1" x14ac:dyDescent="0.25">
      <c r="A25" s="463" t="s">
        <v>122</v>
      </c>
      <c r="B25" s="463"/>
      <c r="C25" s="463"/>
      <c r="D25" s="463"/>
      <c r="E25" s="463"/>
      <c r="F25" s="463"/>
      <c r="G25" s="463"/>
      <c r="H25" s="463"/>
      <c r="I25" s="463"/>
      <c r="J25" s="463"/>
      <c r="K25" s="463"/>
      <c r="L25" s="463"/>
      <c r="M25" s="463"/>
      <c r="N25" s="463"/>
      <c r="O25" s="463"/>
    </row>
  </sheetData>
  <mergeCells count="42">
    <mergeCell ref="O6:P6"/>
    <mergeCell ref="Q6:R6"/>
    <mergeCell ref="D7:D9"/>
    <mergeCell ref="F7:F9"/>
    <mergeCell ref="I7:J7"/>
    <mergeCell ref="K7:K9"/>
    <mergeCell ref="L7:L9"/>
    <mergeCell ref="M7:M9"/>
    <mergeCell ref="N7:N9"/>
    <mergeCell ref="I8:I9"/>
    <mergeCell ref="A10:B10"/>
    <mergeCell ref="A11:B11"/>
    <mergeCell ref="A12:B12"/>
    <mergeCell ref="O7:O9"/>
    <mergeCell ref="A5:B9"/>
    <mergeCell ref="C5:C9"/>
    <mergeCell ref="H5:L5"/>
    <mergeCell ref="M5:N5"/>
    <mergeCell ref="G7:G9"/>
    <mergeCell ref="O5:R5"/>
    <mergeCell ref="D6:E6"/>
    <mergeCell ref="F6:G6"/>
    <mergeCell ref="H6:H9"/>
    <mergeCell ref="I6:L6"/>
    <mergeCell ref="M6:N6"/>
    <mergeCell ref="D5:G5"/>
    <mergeCell ref="A22:O22"/>
    <mergeCell ref="A23:O23"/>
    <mergeCell ref="A24:O24"/>
    <mergeCell ref="A25:O25"/>
    <mergeCell ref="A1:R1"/>
    <mergeCell ref="A3:R3"/>
    <mergeCell ref="A19:B19"/>
    <mergeCell ref="A20:B20"/>
    <mergeCell ref="A13:B13"/>
    <mergeCell ref="A14:B14"/>
    <mergeCell ref="A15:B15"/>
    <mergeCell ref="A16:B16"/>
    <mergeCell ref="A17:B17"/>
    <mergeCell ref="A18:B18"/>
    <mergeCell ref="Q7:Q9"/>
    <mergeCell ref="R7:R9"/>
  </mergeCells>
  <pageMargins left="0.39370078740157483" right="0.39370078740157483" top="0.78740157480314965" bottom="0.39370078740157483" header="0.31496062992125984" footer="0.31496062992125984"/>
  <pageSetup paperSize="9" scale="67" firstPageNumber="12" fitToWidth="2" fitToHeight="200" orientation="landscape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O36"/>
  <sheetViews>
    <sheetView view="pageBreakPreview" zoomScale="80" zoomScaleNormal="100" zoomScaleSheetLayoutView="80" workbookViewId="0">
      <selection activeCell="A3" sqref="A1:XFD1048576"/>
    </sheetView>
  </sheetViews>
  <sheetFormatPr defaultColWidth="9.140625" defaultRowHeight="15" x14ac:dyDescent="0.25"/>
  <cols>
    <col min="1" max="1" width="9.28515625" style="173" bestFit="1" customWidth="1"/>
    <col min="2" max="2" width="6" style="173" customWidth="1"/>
    <col min="3" max="3" width="11.7109375" style="173" customWidth="1"/>
    <col min="4" max="4" width="15.7109375" style="173" customWidth="1"/>
    <col min="5" max="5" width="17.42578125" style="173" customWidth="1"/>
    <col min="6" max="6" width="13.5703125" style="173" bestFit="1" customWidth="1"/>
    <col min="7" max="7" width="11.85546875" style="173" bestFit="1" customWidth="1"/>
    <col min="8" max="8" width="10.140625" style="173" bestFit="1" customWidth="1"/>
    <col min="9" max="9" width="12" style="173" customWidth="1"/>
    <col min="10" max="10" width="10.28515625" style="173" bestFit="1" customWidth="1"/>
    <col min="11" max="11" width="9.5703125" style="173" bestFit="1" customWidth="1"/>
    <col min="12" max="12" width="13.140625" style="173" customWidth="1"/>
    <col min="13" max="13" width="10.140625" style="173" bestFit="1" customWidth="1"/>
    <col min="14" max="14" width="12.85546875" style="173" bestFit="1" customWidth="1"/>
    <col min="15" max="15" width="10.5703125" style="173" bestFit="1" customWidth="1"/>
    <col min="16" max="16" width="9.28515625" style="173" bestFit="1" customWidth="1"/>
    <col min="17" max="17" width="17.5703125" style="173" customWidth="1"/>
    <col min="18" max="18" width="9.28515625" style="173" bestFit="1" customWidth="1"/>
    <col min="19" max="19" width="13.42578125" style="173" customWidth="1"/>
    <col min="20" max="21" width="9.28515625" style="173" bestFit="1" customWidth="1"/>
    <col min="22" max="22" width="12.5703125" style="173" bestFit="1" customWidth="1"/>
    <col min="23" max="23" width="9.28515625" style="173" bestFit="1" customWidth="1"/>
    <col min="24" max="24" width="11.5703125" style="173" bestFit="1" customWidth="1"/>
    <col min="25" max="28" width="9.28515625" style="173" bestFit="1" customWidth="1"/>
    <col min="29" max="29" width="16.85546875" style="173" customWidth="1"/>
    <col min="30" max="16384" width="9.140625" style="173"/>
  </cols>
  <sheetData>
    <row r="1" spans="1:41" s="383" customFormat="1" ht="18.75" x14ac:dyDescent="0.25">
      <c r="A1" s="402" t="s">
        <v>1095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</row>
    <row r="2" spans="1:41" x14ac:dyDescent="0.25">
      <c r="D2" s="389"/>
    </row>
    <row r="3" spans="1:41" ht="72" customHeight="1" x14ac:dyDescent="0.25">
      <c r="A3" s="400" t="s">
        <v>100</v>
      </c>
      <c r="B3" s="400"/>
      <c r="C3" s="400" t="s">
        <v>9</v>
      </c>
      <c r="D3" s="432" t="s">
        <v>101</v>
      </c>
      <c r="E3" s="432"/>
      <c r="F3" s="432"/>
      <c r="G3" s="432"/>
      <c r="H3" s="432"/>
      <c r="I3" s="432"/>
      <c r="J3" s="400" t="s">
        <v>102</v>
      </c>
      <c r="K3" s="400"/>
      <c r="L3" s="432" t="s">
        <v>103</v>
      </c>
      <c r="M3" s="432"/>
      <c r="N3" s="432"/>
      <c r="O3" s="432"/>
      <c r="P3" s="432"/>
      <c r="Q3" s="432"/>
      <c r="R3" s="432" t="s">
        <v>103</v>
      </c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2"/>
      <c r="AD3" s="432" t="s">
        <v>103</v>
      </c>
      <c r="AE3" s="432"/>
      <c r="AF3" s="432"/>
      <c r="AG3" s="432"/>
      <c r="AH3" s="432"/>
      <c r="AI3" s="432"/>
      <c r="AJ3" s="432"/>
      <c r="AK3" s="432"/>
      <c r="AL3" s="432"/>
      <c r="AM3" s="432"/>
      <c r="AN3" s="432"/>
      <c r="AO3" s="432"/>
    </row>
    <row r="4" spans="1:41" ht="15" customHeight="1" x14ac:dyDescent="0.25">
      <c r="A4" s="400"/>
      <c r="B4" s="400"/>
      <c r="C4" s="400"/>
      <c r="D4" s="400" t="s">
        <v>15</v>
      </c>
      <c r="E4" s="400" t="s">
        <v>54</v>
      </c>
      <c r="F4" s="400"/>
      <c r="G4" s="400"/>
      <c r="H4" s="400"/>
      <c r="I4" s="400"/>
      <c r="J4" s="400" t="s">
        <v>54</v>
      </c>
      <c r="K4" s="400"/>
      <c r="L4" s="400" t="s">
        <v>54</v>
      </c>
      <c r="M4" s="400"/>
      <c r="N4" s="400"/>
      <c r="O4" s="400"/>
      <c r="P4" s="400"/>
      <c r="Q4" s="400"/>
      <c r="R4" s="432" t="s">
        <v>54</v>
      </c>
      <c r="S4" s="432"/>
      <c r="T4" s="432"/>
      <c r="U4" s="432"/>
      <c r="V4" s="432"/>
      <c r="W4" s="432"/>
      <c r="X4" s="432"/>
      <c r="Y4" s="432"/>
      <c r="Z4" s="432"/>
      <c r="AA4" s="432"/>
      <c r="AB4" s="432"/>
      <c r="AC4" s="432"/>
      <c r="AD4" s="432" t="s">
        <v>54</v>
      </c>
      <c r="AE4" s="432"/>
      <c r="AF4" s="432"/>
      <c r="AG4" s="432"/>
      <c r="AH4" s="432"/>
      <c r="AI4" s="432"/>
      <c r="AJ4" s="432"/>
      <c r="AK4" s="432"/>
      <c r="AL4" s="432"/>
      <c r="AM4" s="432"/>
      <c r="AN4" s="432"/>
      <c r="AO4" s="432"/>
    </row>
    <row r="5" spans="1:41" ht="45" customHeight="1" x14ac:dyDescent="0.25">
      <c r="A5" s="400"/>
      <c r="B5" s="400"/>
      <c r="C5" s="400"/>
      <c r="D5" s="400"/>
      <c r="E5" s="400" t="s">
        <v>96</v>
      </c>
      <c r="F5" s="400"/>
      <c r="G5" s="400"/>
      <c r="H5" s="400" t="s">
        <v>370</v>
      </c>
      <c r="I5" s="400" t="s">
        <v>371</v>
      </c>
      <c r="J5" s="400" t="s">
        <v>372</v>
      </c>
      <c r="K5" s="400" t="s">
        <v>373</v>
      </c>
      <c r="L5" s="400" t="s">
        <v>96</v>
      </c>
      <c r="M5" s="400"/>
      <c r="N5" s="400"/>
      <c r="O5" s="400"/>
      <c r="P5" s="400"/>
      <c r="Q5" s="400"/>
      <c r="R5" s="400" t="s">
        <v>104</v>
      </c>
      <c r="S5" s="400"/>
      <c r="T5" s="400"/>
      <c r="U5" s="400"/>
      <c r="V5" s="400"/>
      <c r="W5" s="400"/>
      <c r="X5" s="400" t="s">
        <v>97</v>
      </c>
      <c r="Y5" s="400"/>
      <c r="Z5" s="400"/>
      <c r="AA5" s="400"/>
      <c r="AB5" s="400"/>
      <c r="AC5" s="400"/>
      <c r="AD5" s="432" t="s">
        <v>113</v>
      </c>
      <c r="AE5" s="432"/>
      <c r="AF5" s="432"/>
      <c r="AG5" s="432"/>
      <c r="AH5" s="432"/>
      <c r="AI5" s="432"/>
      <c r="AJ5" s="432" t="s">
        <v>114</v>
      </c>
      <c r="AK5" s="432"/>
      <c r="AL5" s="432"/>
      <c r="AM5" s="432"/>
      <c r="AN5" s="432"/>
      <c r="AO5" s="432"/>
    </row>
    <row r="6" spans="1:41" ht="46.5" customHeight="1" x14ac:dyDescent="0.25">
      <c r="A6" s="400"/>
      <c r="B6" s="400"/>
      <c r="C6" s="400"/>
      <c r="D6" s="400"/>
      <c r="E6" s="400" t="s">
        <v>15</v>
      </c>
      <c r="F6" s="400" t="s">
        <v>105</v>
      </c>
      <c r="G6" s="400"/>
      <c r="H6" s="400"/>
      <c r="I6" s="400"/>
      <c r="J6" s="400"/>
      <c r="K6" s="400"/>
      <c r="L6" s="400" t="s">
        <v>374</v>
      </c>
      <c r="M6" s="400" t="s">
        <v>106</v>
      </c>
      <c r="N6" s="432" t="s">
        <v>107</v>
      </c>
      <c r="O6" s="432"/>
      <c r="P6" s="408" t="s">
        <v>108</v>
      </c>
      <c r="Q6" s="408" t="s">
        <v>377</v>
      </c>
      <c r="R6" s="400" t="s">
        <v>380</v>
      </c>
      <c r="S6" s="400" t="s">
        <v>106</v>
      </c>
      <c r="T6" s="400" t="s">
        <v>107</v>
      </c>
      <c r="U6" s="400"/>
      <c r="V6" s="400" t="s">
        <v>112</v>
      </c>
      <c r="W6" s="400" t="s">
        <v>381</v>
      </c>
      <c r="X6" s="400" t="s">
        <v>374</v>
      </c>
      <c r="Y6" s="400" t="s">
        <v>106</v>
      </c>
      <c r="Z6" s="400" t="s">
        <v>107</v>
      </c>
      <c r="AA6" s="400"/>
      <c r="AB6" s="400" t="s">
        <v>112</v>
      </c>
      <c r="AC6" s="400" t="s">
        <v>381</v>
      </c>
      <c r="AD6" s="432" t="s">
        <v>382</v>
      </c>
      <c r="AE6" s="432" t="s">
        <v>106</v>
      </c>
      <c r="AF6" s="432" t="s">
        <v>107</v>
      </c>
      <c r="AG6" s="432"/>
      <c r="AH6" s="432" t="s">
        <v>112</v>
      </c>
      <c r="AI6" s="432" t="s">
        <v>381</v>
      </c>
      <c r="AJ6" s="432" t="s">
        <v>374</v>
      </c>
      <c r="AK6" s="432" t="s">
        <v>106</v>
      </c>
      <c r="AL6" s="432" t="s">
        <v>107</v>
      </c>
      <c r="AM6" s="432"/>
      <c r="AN6" s="432" t="s">
        <v>112</v>
      </c>
      <c r="AO6" s="432" t="s">
        <v>381</v>
      </c>
    </row>
    <row r="7" spans="1:41" x14ac:dyDescent="0.25">
      <c r="A7" s="400"/>
      <c r="B7" s="400"/>
      <c r="C7" s="400"/>
      <c r="D7" s="400"/>
      <c r="E7" s="400"/>
      <c r="F7" s="400" t="s">
        <v>109</v>
      </c>
      <c r="G7" s="400" t="s">
        <v>369</v>
      </c>
      <c r="H7" s="400"/>
      <c r="I7" s="400"/>
      <c r="J7" s="400"/>
      <c r="K7" s="400"/>
      <c r="L7" s="400"/>
      <c r="M7" s="400"/>
      <c r="N7" s="432" t="s">
        <v>54</v>
      </c>
      <c r="O7" s="432"/>
      <c r="P7" s="408"/>
      <c r="Q7" s="408"/>
      <c r="R7" s="400"/>
      <c r="S7" s="400"/>
      <c r="T7" s="400" t="s">
        <v>54</v>
      </c>
      <c r="U7" s="400"/>
      <c r="V7" s="400"/>
      <c r="W7" s="400"/>
      <c r="X7" s="400"/>
      <c r="Y7" s="400"/>
      <c r="Z7" s="400" t="s">
        <v>54</v>
      </c>
      <c r="AA7" s="400"/>
      <c r="AB7" s="400"/>
      <c r="AC7" s="400"/>
      <c r="AD7" s="432"/>
      <c r="AE7" s="432"/>
      <c r="AF7" s="479" t="s">
        <v>54</v>
      </c>
      <c r="AG7" s="480"/>
      <c r="AH7" s="432"/>
      <c r="AI7" s="432"/>
      <c r="AJ7" s="432"/>
      <c r="AK7" s="432"/>
      <c r="AL7" s="479" t="s">
        <v>54</v>
      </c>
      <c r="AM7" s="480"/>
      <c r="AN7" s="432"/>
      <c r="AO7" s="432"/>
    </row>
    <row r="8" spans="1:41" ht="140.25" x14ac:dyDescent="0.25">
      <c r="A8" s="400"/>
      <c r="B8" s="400"/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  <c r="N8" s="387" t="s">
        <v>375</v>
      </c>
      <c r="O8" s="387" t="s">
        <v>376</v>
      </c>
      <c r="P8" s="408"/>
      <c r="Q8" s="408"/>
      <c r="R8" s="400"/>
      <c r="S8" s="400"/>
      <c r="T8" s="382" t="s">
        <v>375</v>
      </c>
      <c r="U8" s="382" t="s">
        <v>376</v>
      </c>
      <c r="V8" s="400"/>
      <c r="W8" s="400"/>
      <c r="X8" s="400"/>
      <c r="Y8" s="400"/>
      <c r="Z8" s="382" t="s">
        <v>110</v>
      </c>
      <c r="AA8" s="382" t="s">
        <v>376</v>
      </c>
      <c r="AB8" s="400"/>
      <c r="AC8" s="400"/>
      <c r="AD8" s="432"/>
      <c r="AE8" s="432"/>
      <c r="AF8" s="387" t="s">
        <v>375</v>
      </c>
      <c r="AG8" s="382" t="s">
        <v>376</v>
      </c>
      <c r="AH8" s="432"/>
      <c r="AI8" s="432"/>
      <c r="AJ8" s="432"/>
      <c r="AK8" s="432"/>
      <c r="AL8" s="387" t="s">
        <v>375</v>
      </c>
      <c r="AM8" s="382" t="s">
        <v>376</v>
      </c>
      <c r="AN8" s="432"/>
      <c r="AO8" s="432"/>
    </row>
    <row r="9" spans="1:41" x14ac:dyDescent="0.25">
      <c r="A9" s="432">
        <v>1</v>
      </c>
      <c r="B9" s="432"/>
      <c r="C9" s="382">
        <v>2</v>
      </c>
      <c r="D9" s="382">
        <v>3</v>
      </c>
      <c r="E9" s="382">
        <v>4</v>
      </c>
      <c r="F9" s="382">
        <v>5</v>
      </c>
      <c r="G9" s="382">
        <v>6</v>
      </c>
      <c r="H9" s="382">
        <v>7</v>
      </c>
      <c r="I9" s="382">
        <v>8</v>
      </c>
      <c r="J9" s="382">
        <v>9</v>
      </c>
      <c r="K9" s="382">
        <v>10</v>
      </c>
      <c r="L9" s="382">
        <v>11</v>
      </c>
      <c r="M9" s="382">
        <v>12</v>
      </c>
      <c r="N9" s="382">
        <v>13</v>
      </c>
      <c r="O9" s="382">
        <v>14</v>
      </c>
      <c r="P9" s="382">
        <v>15</v>
      </c>
      <c r="Q9" s="382">
        <v>16</v>
      </c>
      <c r="R9" s="382">
        <v>17</v>
      </c>
      <c r="S9" s="382">
        <v>18</v>
      </c>
      <c r="T9" s="382">
        <v>19</v>
      </c>
      <c r="U9" s="382">
        <v>20</v>
      </c>
      <c r="V9" s="382">
        <v>21</v>
      </c>
      <c r="W9" s="382">
        <v>22</v>
      </c>
      <c r="X9" s="382">
        <v>23</v>
      </c>
      <c r="Y9" s="382">
        <v>24</v>
      </c>
      <c r="Z9" s="382">
        <v>25</v>
      </c>
      <c r="AA9" s="382">
        <v>26</v>
      </c>
      <c r="AB9" s="382">
        <v>27</v>
      </c>
      <c r="AC9" s="382">
        <v>28</v>
      </c>
      <c r="AD9" s="382">
        <v>29</v>
      </c>
      <c r="AE9" s="382">
        <v>30</v>
      </c>
      <c r="AF9" s="382">
        <v>31</v>
      </c>
      <c r="AG9" s="382">
        <v>32</v>
      </c>
      <c r="AH9" s="382">
        <v>33</v>
      </c>
      <c r="AI9" s="382">
        <v>34</v>
      </c>
      <c r="AJ9" s="382">
        <v>35</v>
      </c>
      <c r="AK9" s="382">
        <v>36</v>
      </c>
      <c r="AL9" s="382">
        <v>37</v>
      </c>
      <c r="AM9" s="382">
        <v>38</v>
      </c>
      <c r="AN9" s="382">
        <v>39</v>
      </c>
      <c r="AO9" s="382">
        <v>40</v>
      </c>
    </row>
    <row r="10" spans="1:41" ht="46.15" customHeight="1" x14ac:dyDescent="0.25">
      <c r="A10" s="481" t="s">
        <v>111</v>
      </c>
      <c r="B10" s="481"/>
      <c r="C10" s="382">
        <v>1000</v>
      </c>
      <c r="D10" s="390">
        <f>D12</f>
        <v>7566329.1099999994</v>
      </c>
      <c r="E10" s="390">
        <f>D10</f>
        <v>7566329.1099999994</v>
      </c>
      <c r="F10" s="390">
        <f>E10</f>
        <v>7566329.1099999994</v>
      </c>
      <c r="G10" s="390"/>
      <c r="H10" s="390"/>
      <c r="I10" s="390"/>
      <c r="J10" s="390"/>
      <c r="K10" s="390"/>
      <c r="L10" s="390">
        <f>L12</f>
        <v>5123520.01</v>
      </c>
      <c r="M10" s="390"/>
      <c r="N10" s="390"/>
      <c r="O10" s="390"/>
      <c r="P10" s="390"/>
      <c r="Q10" s="390">
        <f>Q12</f>
        <v>2442809.1</v>
      </c>
      <c r="R10" s="382"/>
      <c r="S10" s="382"/>
      <c r="T10" s="382"/>
      <c r="U10" s="382"/>
      <c r="V10" s="382"/>
      <c r="W10" s="382"/>
      <c r="X10" s="382"/>
      <c r="Y10" s="382"/>
      <c r="Z10" s="382"/>
      <c r="AA10" s="382"/>
      <c r="AB10" s="382"/>
      <c r="AC10" s="382"/>
      <c r="AD10" s="382"/>
      <c r="AE10" s="382"/>
      <c r="AF10" s="382"/>
      <c r="AG10" s="382"/>
      <c r="AH10" s="382"/>
      <c r="AI10" s="382"/>
      <c r="AJ10" s="382"/>
      <c r="AK10" s="382"/>
      <c r="AL10" s="382"/>
      <c r="AM10" s="382"/>
      <c r="AN10" s="382"/>
      <c r="AO10" s="382"/>
    </row>
    <row r="11" spans="1:41" ht="18.600000000000001" customHeight="1" x14ac:dyDescent="0.25">
      <c r="A11" s="476" t="s">
        <v>99</v>
      </c>
      <c r="B11" s="476"/>
      <c r="C11" s="382">
        <v>1100</v>
      </c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82"/>
      <c r="S11" s="382"/>
      <c r="T11" s="382"/>
      <c r="U11" s="382"/>
      <c r="V11" s="382"/>
      <c r="W11" s="382"/>
      <c r="X11" s="382"/>
      <c r="Y11" s="382"/>
      <c r="Z11" s="382"/>
      <c r="AA11" s="382"/>
      <c r="AB11" s="382"/>
      <c r="AC11" s="382"/>
      <c r="AD11" s="382"/>
      <c r="AE11" s="382"/>
      <c r="AF11" s="382"/>
      <c r="AG11" s="382"/>
      <c r="AH11" s="382"/>
      <c r="AI11" s="382"/>
      <c r="AJ11" s="382"/>
      <c r="AK11" s="382"/>
      <c r="AL11" s="382"/>
      <c r="AM11" s="382"/>
      <c r="AN11" s="382"/>
      <c r="AO11" s="382"/>
    </row>
    <row r="12" spans="1:41" ht="16.149999999999999" customHeight="1" x14ac:dyDescent="0.25">
      <c r="A12" s="476" t="s">
        <v>972</v>
      </c>
      <c r="B12" s="476"/>
      <c r="C12" s="382"/>
      <c r="D12" s="390">
        <f>L12+Q12</f>
        <v>7566329.1099999994</v>
      </c>
      <c r="E12" s="390">
        <f t="shared" ref="E12:E18" si="0">D12</f>
        <v>7566329.1099999994</v>
      </c>
      <c r="F12" s="390">
        <f t="shared" ref="F12:F19" si="1">E12</f>
        <v>7566329.1099999994</v>
      </c>
      <c r="G12" s="390"/>
      <c r="H12" s="390"/>
      <c r="I12" s="390"/>
      <c r="J12" s="390"/>
      <c r="K12" s="390"/>
      <c r="L12" s="390">
        <v>5123520.01</v>
      </c>
      <c r="M12" s="390"/>
      <c r="N12" s="390"/>
      <c r="O12" s="390"/>
      <c r="P12" s="390"/>
      <c r="Q12" s="390">
        <v>2442809.1</v>
      </c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  <c r="AH12" s="382"/>
      <c r="AI12" s="382"/>
      <c r="AJ12" s="382"/>
      <c r="AK12" s="382"/>
      <c r="AL12" s="382"/>
      <c r="AM12" s="382"/>
      <c r="AN12" s="382"/>
      <c r="AO12" s="382"/>
    </row>
    <row r="13" spans="1:41" ht="47.45" customHeight="1" x14ac:dyDescent="0.25">
      <c r="A13" s="481" t="s">
        <v>378</v>
      </c>
      <c r="B13" s="481"/>
      <c r="C13" s="382">
        <v>2000</v>
      </c>
      <c r="D13" s="390">
        <f>D15</f>
        <v>232261.03999999998</v>
      </c>
      <c r="E13" s="390">
        <f t="shared" si="0"/>
        <v>232261.03999999998</v>
      </c>
      <c r="F13" s="390">
        <f t="shared" si="1"/>
        <v>232261.03999999998</v>
      </c>
      <c r="G13" s="390"/>
      <c r="H13" s="390"/>
      <c r="I13" s="390"/>
      <c r="J13" s="390"/>
      <c r="K13" s="390"/>
      <c r="L13" s="390">
        <f>L15</f>
        <v>69365.48</v>
      </c>
      <c r="M13" s="390"/>
      <c r="N13" s="390"/>
      <c r="O13" s="390"/>
      <c r="P13" s="390"/>
      <c r="Q13" s="390">
        <f>Q15</f>
        <v>162895.56</v>
      </c>
      <c r="R13" s="382"/>
      <c r="S13" s="382"/>
      <c r="T13" s="382"/>
      <c r="U13" s="382"/>
      <c r="V13" s="382"/>
      <c r="W13" s="382"/>
      <c r="X13" s="382"/>
      <c r="Y13" s="382"/>
      <c r="Z13" s="382"/>
      <c r="AA13" s="382"/>
      <c r="AB13" s="382"/>
      <c r="AC13" s="382"/>
      <c r="AD13" s="382"/>
      <c r="AE13" s="382"/>
      <c r="AF13" s="382"/>
      <c r="AG13" s="382"/>
      <c r="AH13" s="382"/>
      <c r="AI13" s="382"/>
      <c r="AJ13" s="382"/>
      <c r="AK13" s="382"/>
      <c r="AL13" s="382"/>
      <c r="AM13" s="382"/>
      <c r="AN13" s="382"/>
      <c r="AO13" s="382"/>
    </row>
    <row r="14" spans="1:41" ht="17.45" customHeight="1" x14ac:dyDescent="0.25">
      <c r="A14" s="476" t="s">
        <v>99</v>
      </c>
      <c r="B14" s="476"/>
      <c r="C14" s="382">
        <v>2100</v>
      </c>
      <c r="D14" s="390"/>
      <c r="E14" s="390"/>
      <c r="F14" s="390"/>
      <c r="G14" s="390"/>
      <c r="H14" s="390"/>
      <c r="I14" s="390"/>
      <c r="J14" s="390"/>
      <c r="K14" s="390"/>
      <c r="L14" s="390"/>
      <c r="M14" s="390"/>
      <c r="N14" s="390"/>
      <c r="O14" s="390"/>
      <c r="P14" s="390"/>
      <c r="Q14" s="390"/>
      <c r="R14" s="382"/>
      <c r="S14" s="382"/>
      <c r="T14" s="382"/>
      <c r="U14" s="382"/>
      <c r="V14" s="382"/>
      <c r="W14" s="382"/>
      <c r="X14" s="382"/>
      <c r="Y14" s="382"/>
      <c r="Z14" s="382"/>
      <c r="AA14" s="382"/>
      <c r="AB14" s="382"/>
      <c r="AC14" s="382"/>
      <c r="AD14" s="382"/>
      <c r="AE14" s="382"/>
      <c r="AF14" s="382"/>
      <c r="AG14" s="382"/>
      <c r="AH14" s="382"/>
      <c r="AI14" s="382"/>
      <c r="AJ14" s="382"/>
      <c r="AK14" s="382"/>
      <c r="AL14" s="382"/>
      <c r="AM14" s="382"/>
      <c r="AN14" s="382"/>
      <c r="AO14" s="382"/>
    </row>
    <row r="15" spans="1:41" ht="16.149999999999999" customHeight="1" x14ac:dyDescent="0.25">
      <c r="A15" s="476" t="s">
        <v>973</v>
      </c>
      <c r="B15" s="476"/>
      <c r="C15" s="382"/>
      <c r="D15" s="390">
        <f>L15+Q15</f>
        <v>232261.03999999998</v>
      </c>
      <c r="E15" s="390">
        <f t="shared" si="0"/>
        <v>232261.03999999998</v>
      </c>
      <c r="F15" s="390">
        <f t="shared" si="1"/>
        <v>232261.03999999998</v>
      </c>
      <c r="G15" s="390"/>
      <c r="H15" s="390"/>
      <c r="I15" s="390"/>
      <c r="J15" s="390"/>
      <c r="K15" s="390"/>
      <c r="L15" s="390">
        <v>69365.48</v>
      </c>
      <c r="M15" s="390"/>
      <c r="N15" s="390"/>
      <c r="O15" s="390"/>
      <c r="P15" s="390"/>
      <c r="Q15" s="390">
        <v>162895.56</v>
      </c>
      <c r="R15" s="382"/>
      <c r="S15" s="382"/>
      <c r="T15" s="382"/>
      <c r="U15" s="382"/>
      <c r="V15" s="382"/>
      <c r="W15" s="382"/>
      <c r="X15" s="382"/>
      <c r="Y15" s="382"/>
      <c r="Z15" s="382"/>
      <c r="AA15" s="382"/>
      <c r="AB15" s="382"/>
      <c r="AC15" s="382"/>
      <c r="AD15" s="382"/>
      <c r="AE15" s="382"/>
      <c r="AF15" s="382"/>
      <c r="AG15" s="382"/>
      <c r="AH15" s="382"/>
      <c r="AI15" s="382"/>
      <c r="AJ15" s="382"/>
      <c r="AK15" s="382"/>
      <c r="AL15" s="382"/>
      <c r="AM15" s="382"/>
      <c r="AN15" s="382"/>
      <c r="AO15" s="382"/>
    </row>
    <row r="16" spans="1:41" ht="55.15" customHeight="1" x14ac:dyDescent="0.25">
      <c r="A16" s="481" t="s">
        <v>379</v>
      </c>
      <c r="B16" s="481"/>
      <c r="C16" s="382">
        <v>3000</v>
      </c>
      <c r="D16" s="390">
        <f>D18</f>
        <v>6095262.7999999998</v>
      </c>
      <c r="E16" s="390">
        <f t="shared" si="0"/>
        <v>6095262.7999999998</v>
      </c>
      <c r="F16" s="390">
        <f t="shared" si="1"/>
        <v>6095262.7999999998</v>
      </c>
      <c r="G16" s="390"/>
      <c r="H16" s="390"/>
      <c r="I16" s="390"/>
      <c r="J16" s="390"/>
      <c r="K16" s="390"/>
      <c r="L16" s="390">
        <f>L18</f>
        <v>2558370.6999999997</v>
      </c>
      <c r="M16" s="390"/>
      <c r="N16" s="390"/>
      <c r="O16" s="390"/>
      <c r="P16" s="390"/>
      <c r="Q16" s="390">
        <f>Q18</f>
        <v>3218209.65</v>
      </c>
      <c r="R16" s="382"/>
      <c r="S16" s="382"/>
      <c r="T16" s="382"/>
      <c r="U16" s="382"/>
      <c r="V16" s="382"/>
      <c r="W16" s="382"/>
      <c r="X16" s="390">
        <f>X18</f>
        <v>289065.65999999997</v>
      </c>
      <c r="Y16" s="382"/>
      <c r="Z16" s="382"/>
      <c r="AA16" s="382"/>
      <c r="AB16" s="382"/>
      <c r="AC16" s="390">
        <f>AC18</f>
        <v>29616.79</v>
      </c>
      <c r="AD16" s="382"/>
      <c r="AE16" s="382"/>
      <c r="AF16" s="382"/>
      <c r="AG16" s="382"/>
      <c r="AH16" s="382"/>
      <c r="AI16" s="382"/>
      <c r="AJ16" s="382"/>
      <c r="AK16" s="382"/>
      <c r="AL16" s="382"/>
      <c r="AM16" s="382"/>
      <c r="AN16" s="382"/>
      <c r="AO16" s="382"/>
    </row>
    <row r="17" spans="1:41" ht="18.600000000000001" customHeight="1" x14ac:dyDescent="0.25">
      <c r="A17" s="476" t="s">
        <v>99</v>
      </c>
      <c r="B17" s="476"/>
      <c r="C17" s="382">
        <v>3100</v>
      </c>
      <c r="D17" s="390"/>
      <c r="E17" s="390"/>
      <c r="F17" s="390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82"/>
      <c r="S17" s="382"/>
      <c r="T17" s="382"/>
      <c r="U17" s="382"/>
      <c r="V17" s="382"/>
      <c r="W17" s="382"/>
      <c r="X17" s="382"/>
      <c r="Y17" s="382"/>
      <c r="Z17" s="382"/>
      <c r="AA17" s="382"/>
      <c r="AB17" s="382"/>
      <c r="AC17" s="382"/>
      <c r="AD17" s="382"/>
      <c r="AE17" s="382"/>
      <c r="AF17" s="382"/>
      <c r="AG17" s="382"/>
      <c r="AH17" s="382"/>
      <c r="AI17" s="382"/>
      <c r="AJ17" s="382"/>
      <c r="AK17" s="382"/>
      <c r="AL17" s="382"/>
      <c r="AM17" s="382"/>
      <c r="AN17" s="382"/>
      <c r="AO17" s="382"/>
    </row>
    <row r="18" spans="1:41" ht="115.5" customHeight="1" x14ac:dyDescent="0.25">
      <c r="A18" s="482" t="s">
        <v>974</v>
      </c>
      <c r="B18" s="483"/>
      <c r="C18" s="382"/>
      <c r="D18" s="390">
        <f>L18+Q18+X18+AC18</f>
        <v>6095262.7999999998</v>
      </c>
      <c r="E18" s="390">
        <f t="shared" si="0"/>
        <v>6095262.7999999998</v>
      </c>
      <c r="F18" s="390">
        <f t="shared" si="1"/>
        <v>6095262.7999999998</v>
      </c>
      <c r="G18" s="390"/>
      <c r="H18" s="390"/>
      <c r="I18" s="390"/>
      <c r="J18" s="390"/>
      <c r="K18" s="390"/>
      <c r="L18" s="390">
        <f>2847436.36-X18</f>
        <v>2558370.6999999997</v>
      </c>
      <c r="M18" s="390"/>
      <c r="N18" s="390"/>
      <c r="O18" s="390"/>
      <c r="P18" s="390"/>
      <c r="Q18" s="390">
        <f>3247826.44-29616.79</f>
        <v>3218209.65</v>
      </c>
      <c r="R18" s="382"/>
      <c r="S18" s="382"/>
      <c r="T18" s="382"/>
      <c r="U18" s="382"/>
      <c r="V18" s="382"/>
      <c r="W18" s="382"/>
      <c r="X18" s="390">
        <v>289065.65999999997</v>
      </c>
      <c r="Y18" s="382"/>
      <c r="Z18" s="382"/>
      <c r="AA18" s="382"/>
      <c r="AB18" s="382"/>
      <c r="AC18" s="390">
        <v>29616.79</v>
      </c>
      <c r="AD18" s="382"/>
      <c r="AE18" s="382"/>
      <c r="AF18" s="382"/>
      <c r="AG18" s="382"/>
      <c r="AH18" s="382"/>
      <c r="AI18" s="382"/>
      <c r="AJ18" s="382"/>
      <c r="AK18" s="382"/>
      <c r="AL18" s="382"/>
      <c r="AM18" s="382"/>
      <c r="AN18" s="382"/>
      <c r="AO18" s="382"/>
    </row>
    <row r="19" spans="1:41" x14ac:dyDescent="0.25">
      <c r="A19" s="424" t="s">
        <v>20</v>
      </c>
      <c r="B19" s="424"/>
      <c r="C19" s="382">
        <v>9000</v>
      </c>
      <c r="D19" s="390">
        <f>D16+D13+D10</f>
        <v>13893852.949999999</v>
      </c>
      <c r="E19" s="390">
        <f>D19</f>
        <v>13893852.949999999</v>
      </c>
      <c r="F19" s="390">
        <f t="shared" si="1"/>
        <v>13893852.949999999</v>
      </c>
      <c r="G19" s="390"/>
      <c r="H19" s="390"/>
      <c r="I19" s="390"/>
      <c r="J19" s="390"/>
      <c r="K19" s="390">
        <f>K16+K13+K10</f>
        <v>0</v>
      </c>
      <c r="L19" s="390">
        <f>L16+L13+L10</f>
        <v>7751256.1899999995</v>
      </c>
      <c r="M19" s="390"/>
      <c r="N19" s="390"/>
      <c r="O19" s="390"/>
      <c r="P19" s="390"/>
      <c r="Q19" s="390">
        <f>Q16+Q13+Q10</f>
        <v>5823914.3100000005</v>
      </c>
      <c r="R19" s="382"/>
      <c r="S19" s="382"/>
      <c r="T19" s="382"/>
      <c r="U19" s="382"/>
      <c r="V19" s="382"/>
      <c r="W19" s="382"/>
      <c r="X19" s="390">
        <f>X18</f>
        <v>289065.65999999997</v>
      </c>
      <c r="Y19" s="382"/>
      <c r="Z19" s="382"/>
      <c r="AA19" s="382"/>
      <c r="AB19" s="382"/>
      <c r="AC19" s="390">
        <f>AC18</f>
        <v>29616.79</v>
      </c>
      <c r="AD19" s="382"/>
      <c r="AE19" s="382"/>
      <c r="AF19" s="382"/>
      <c r="AG19" s="382"/>
      <c r="AH19" s="382"/>
      <c r="AI19" s="382"/>
      <c r="AJ19" s="382"/>
      <c r="AK19" s="382"/>
      <c r="AL19" s="382"/>
      <c r="AM19" s="382"/>
      <c r="AN19" s="382"/>
      <c r="AO19" s="382"/>
    </row>
    <row r="20" spans="1:41" x14ac:dyDescent="0.25">
      <c r="A20" s="47"/>
      <c r="B20" s="107"/>
      <c r="C20" s="106" t="s">
        <v>37</v>
      </c>
      <c r="D20" s="106"/>
      <c r="E20" s="85"/>
      <c r="F20" s="85"/>
      <c r="G20" s="85"/>
      <c r="H20" s="85"/>
      <c r="I20" s="85"/>
      <c r="J20" s="85"/>
      <c r="K20" s="85"/>
      <c r="L20" s="85"/>
      <c r="M20" s="85"/>
      <c r="N20" s="85"/>
    </row>
    <row r="21" spans="1:41" ht="18" customHeight="1" x14ac:dyDescent="0.25">
      <c r="A21" s="47"/>
      <c r="B21" s="108"/>
      <c r="C21" s="463" t="s">
        <v>115</v>
      </c>
      <c r="D21" s="463"/>
      <c r="E21" s="463"/>
      <c r="F21" s="463"/>
      <c r="G21" s="463"/>
      <c r="H21" s="463"/>
      <c r="I21" s="463"/>
      <c r="J21" s="463"/>
      <c r="K21" s="463"/>
      <c r="L21" s="463"/>
      <c r="M21" s="463"/>
      <c r="N21" s="463"/>
      <c r="O21" s="463"/>
      <c r="P21" s="463"/>
      <c r="Q21" s="463"/>
    </row>
    <row r="22" spans="1:41" ht="28.9" customHeight="1" x14ac:dyDescent="0.25">
      <c r="A22" s="47"/>
      <c r="B22" s="108"/>
      <c r="C22" s="463" t="s">
        <v>116</v>
      </c>
      <c r="D22" s="463"/>
      <c r="E22" s="463"/>
      <c r="F22" s="463"/>
      <c r="G22" s="463"/>
      <c r="H22" s="463"/>
      <c r="I22" s="463"/>
      <c r="J22" s="463"/>
      <c r="K22" s="463"/>
      <c r="L22" s="463"/>
      <c r="M22" s="463"/>
      <c r="N22" s="463"/>
      <c r="O22" s="463"/>
      <c r="P22" s="463"/>
      <c r="Q22" s="463"/>
    </row>
    <row r="23" spans="1:41" ht="43.15" customHeight="1" x14ac:dyDescent="0.25">
      <c r="A23" s="47"/>
      <c r="B23" s="108"/>
      <c r="C23" s="463" t="s">
        <v>117</v>
      </c>
      <c r="D23" s="463"/>
      <c r="E23" s="463"/>
      <c r="F23" s="463"/>
      <c r="G23" s="463"/>
      <c r="H23" s="463"/>
      <c r="I23" s="463"/>
      <c r="J23" s="463"/>
      <c r="K23" s="463"/>
      <c r="L23" s="463"/>
      <c r="M23" s="463"/>
      <c r="N23" s="463"/>
      <c r="O23" s="463"/>
      <c r="P23" s="463"/>
      <c r="Q23" s="463"/>
      <c r="S23" s="56"/>
    </row>
    <row r="24" spans="1:41" ht="29.45" customHeight="1" x14ac:dyDescent="0.25">
      <c r="A24" s="47"/>
      <c r="B24" s="108"/>
      <c r="C24" s="463" t="s">
        <v>118</v>
      </c>
      <c r="D24" s="463"/>
      <c r="E24" s="463"/>
      <c r="F24" s="463"/>
      <c r="G24" s="463"/>
      <c r="H24" s="463"/>
      <c r="I24" s="463"/>
      <c r="J24" s="463"/>
      <c r="K24" s="463"/>
      <c r="L24" s="463"/>
      <c r="M24" s="463"/>
      <c r="N24" s="463"/>
      <c r="O24" s="463"/>
      <c r="P24" s="463"/>
      <c r="Q24" s="463"/>
    </row>
    <row r="25" spans="1:41" ht="30.6" customHeight="1" x14ac:dyDescent="0.25">
      <c r="A25" s="47"/>
      <c r="B25" s="108"/>
      <c r="C25" s="463" t="s">
        <v>119</v>
      </c>
      <c r="D25" s="463"/>
      <c r="E25" s="463"/>
      <c r="F25" s="463"/>
      <c r="G25" s="463"/>
      <c r="H25" s="463"/>
      <c r="I25" s="463"/>
      <c r="J25" s="463"/>
      <c r="K25" s="463"/>
      <c r="L25" s="463"/>
      <c r="M25" s="463"/>
      <c r="N25" s="463"/>
      <c r="O25" s="463"/>
      <c r="P25" s="463"/>
      <c r="Q25" s="463"/>
    </row>
    <row r="26" spans="1:41" ht="29.45" customHeight="1" x14ac:dyDescent="0.25">
      <c r="A26" s="47"/>
      <c r="B26" s="108"/>
      <c r="C26" s="463" t="s">
        <v>120</v>
      </c>
      <c r="D26" s="463"/>
      <c r="E26" s="463"/>
      <c r="F26" s="463"/>
      <c r="G26" s="463"/>
      <c r="H26" s="463"/>
      <c r="I26" s="463"/>
      <c r="J26" s="463"/>
      <c r="K26" s="463"/>
      <c r="L26" s="463"/>
      <c r="M26" s="463"/>
      <c r="N26" s="463"/>
      <c r="O26" s="463"/>
      <c r="P26" s="463"/>
      <c r="Q26" s="463"/>
    </row>
    <row r="27" spans="1:41" ht="17.25" customHeight="1" x14ac:dyDescent="0.25">
      <c r="A27" s="47"/>
      <c r="B27" s="109"/>
      <c r="C27" s="471" t="s">
        <v>311</v>
      </c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1"/>
      <c r="P27" s="471"/>
      <c r="Q27" s="471"/>
    </row>
    <row r="28" spans="1:41" ht="30.6" customHeight="1" x14ac:dyDescent="0.25">
      <c r="A28" s="47"/>
      <c r="B28" s="108"/>
      <c r="C28" s="463" t="s">
        <v>121</v>
      </c>
      <c r="D28" s="463"/>
      <c r="E28" s="463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463"/>
    </row>
    <row r="29" spans="1:41" ht="29.45" customHeight="1" x14ac:dyDescent="0.25">
      <c r="A29" s="47"/>
      <c r="B29" s="108"/>
      <c r="C29" s="463" t="s">
        <v>122</v>
      </c>
      <c r="D29" s="463"/>
      <c r="E29" s="463"/>
      <c r="F29" s="463"/>
      <c r="G29" s="463"/>
      <c r="H29" s="463"/>
      <c r="I29" s="463"/>
      <c r="J29" s="463"/>
      <c r="K29" s="463"/>
      <c r="L29" s="463"/>
      <c r="M29" s="463"/>
      <c r="N29" s="463"/>
      <c r="O29" s="463"/>
      <c r="P29" s="463"/>
      <c r="Q29" s="463"/>
    </row>
    <row r="30" spans="1:41" ht="43.9" customHeight="1" x14ac:dyDescent="0.25">
      <c r="A30" s="47"/>
      <c r="B30" s="108"/>
      <c r="C30" s="463" t="s">
        <v>123</v>
      </c>
      <c r="D30" s="463"/>
      <c r="E30" s="463"/>
      <c r="F30" s="463"/>
      <c r="G30" s="463"/>
      <c r="H30" s="463"/>
      <c r="I30" s="463"/>
      <c r="J30" s="463"/>
      <c r="K30" s="463"/>
      <c r="L30" s="463"/>
      <c r="M30" s="463"/>
      <c r="N30" s="463"/>
      <c r="O30" s="463"/>
      <c r="P30" s="463"/>
      <c r="Q30" s="463"/>
    </row>
    <row r="31" spans="1:41" ht="31.9" customHeight="1" x14ac:dyDescent="0.25">
      <c r="A31" s="47"/>
      <c r="B31" s="109"/>
      <c r="C31" s="471" t="s">
        <v>310</v>
      </c>
      <c r="D31" s="471"/>
      <c r="E31" s="471"/>
      <c r="F31" s="471"/>
      <c r="G31" s="471"/>
      <c r="H31" s="471"/>
      <c r="I31" s="471"/>
      <c r="J31" s="471"/>
      <c r="K31" s="471"/>
      <c r="L31" s="471"/>
      <c r="M31" s="471"/>
      <c r="N31" s="471"/>
      <c r="O31" s="471"/>
      <c r="P31" s="471"/>
      <c r="Q31" s="471"/>
    </row>
    <row r="32" spans="1:41" ht="30" customHeight="1" x14ac:dyDescent="0.25">
      <c r="A32" s="47"/>
      <c r="B32" s="108"/>
      <c r="C32" s="463" t="s">
        <v>124</v>
      </c>
      <c r="D32" s="463"/>
      <c r="E32" s="463"/>
      <c r="F32" s="463"/>
      <c r="G32" s="463"/>
      <c r="H32" s="463"/>
      <c r="I32" s="463"/>
      <c r="J32" s="463"/>
      <c r="K32" s="463"/>
      <c r="L32" s="463"/>
      <c r="M32" s="463"/>
      <c r="N32" s="463"/>
      <c r="O32" s="463"/>
      <c r="P32" s="463"/>
      <c r="Q32" s="463"/>
    </row>
    <row r="33" spans="1:17" ht="30" customHeight="1" x14ac:dyDescent="0.25">
      <c r="A33" s="47"/>
      <c r="B33" s="108"/>
      <c r="C33" s="463" t="s">
        <v>125</v>
      </c>
      <c r="D33" s="463"/>
      <c r="E33" s="463"/>
      <c r="F33" s="463"/>
      <c r="G33" s="463"/>
      <c r="H33" s="463"/>
      <c r="I33" s="463"/>
      <c r="J33" s="463"/>
      <c r="K33" s="463"/>
      <c r="L33" s="463"/>
      <c r="M33" s="463"/>
      <c r="N33" s="463"/>
      <c r="O33" s="463"/>
      <c r="P33" s="463"/>
      <c r="Q33" s="463"/>
    </row>
    <row r="34" spans="1:17" ht="30.6" customHeight="1" x14ac:dyDescent="0.25">
      <c r="A34" s="47"/>
      <c r="B34" s="108"/>
      <c r="C34" s="463" t="s">
        <v>126</v>
      </c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</row>
    <row r="35" spans="1:17" ht="29.45" customHeight="1" x14ac:dyDescent="0.25">
      <c r="A35" s="47"/>
      <c r="B35" s="108"/>
      <c r="C35" s="463" t="s">
        <v>127</v>
      </c>
      <c r="D35" s="463"/>
      <c r="E35" s="463"/>
      <c r="F35" s="463"/>
      <c r="G35" s="463"/>
      <c r="H35" s="463"/>
      <c r="I35" s="463"/>
      <c r="J35" s="463"/>
      <c r="K35" s="463"/>
      <c r="L35" s="463"/>
      <c r="M35" s="463"/>
      <c r="N35" s="463"/>
      <c r="O35" s="463"/>
      <c r="P35" s="463"/>
      <c r="Q35" s="463"/>
    </row>
    <row r="36" spans="1:17" ht="30.6" customHeight="1" x14ac:dyDescent="0.25">
      <c r="A36" s="47"/>
      <c r="B36" s="108"/>
      <c r="C36" s="463" t="s">
        <v>128</v>
      </c>
      <c r="D36" s="463"/>
      <c r="E36" s="463"/>
      <c r="F36" s="463"/>
      <c r="G36" s="463"/>
      <c r="H36" s="463"/>
      <c r="I36" s="463"/>
      <c r="J36" s="463"/>
      <c r="K36" s="463"/>
      <c r="L36" s="463"/>
      <c r="M36" s="463"/>
      <c r="N36" s="463"/>
      <c r="O36" s="463"/>
      <c r="P36" s="463"/>
      <c r="Q36" s="463"/>
    </row>
  </sheetData>
  <mergeCells count="85">
    <mergeCell ref="A1:N1"/>
    <mergeCell ref="A3:B8"/>
    <mergeCell ref="C3:C8"/>
    <mergeCell ref="D3:I3"/>
    <mergeCell ref="J3:K3"/>
    <mergeCell ref="L3:Q3"/>
    <mergeCell ref="D4:D8"/>
    <mergeCell ref="E4:I4"/>
    <mergeCell ref="J4:K4"/>
    <mergeCell ref="L4:Q4"/>
    <mergeCell ref="L5:Q5"/>
    <mergeCell ref="E6:E8"/>
    <mergeCell ref="F6:G6"/>
    <mergeCell ref="L6:L8"/>
    <mergeCell ref="M6:M8"/>
    <mergeCell ref="E5:G5"/>
    <mergeCell ref="J5:J8"/>
    <mergeCell ref="K5:K8"/>
    <mergeCell ref="A14:B14"/>
    <mergeCell ref="A9:B9"/>
    <mergeCell ref="A10:B10"/>
    <mergeCell ref="A11:B11"/>
    <mergeCell ref="A12:B12"/>
    <mergeCell ref="A13:B13"/>
    <mergeCell ref="C32:Q32"/>
    <mergeCell ref="C33:Q33"/>
    <mergeCell ref="C34:Q34"/>
    <mergeCell ref="C35:Q35"/>
    <mergeCell ref="A15:B15"/>
    <mergeCell ref="A16:B16"/>
    <mergeCell ref="A17:B17"/>
    <mergeCell ref="A18:B18"/>
    <mergeCell ref="A19:B19"/>
    <mergeCell ref="C28:Q28"/>
    <mergeCell ref="C29:Q29"/>
    <mergeCell ref="C30:Q30"/>
    <mergeCell ref="C31:Q31"/>
    <mergeCell ref="C24:Q24"/>
    <mergeCell ref="C25:Q25"/>
    <mergeCell ref="C26:Q26"/>
    <mergeCell ref="C27:Q27"/>
    <mergeCell ref="R3:AC3"/>
    <mergeCell ref="R4:AC4"/>
    <mergeCell ref="R5:W5"/>
    <mergeCell ref="X5:AC5"/>
    <mergeCell ref="R6:R8"/>
    <mergeCell ref="S6:S8"/>
    <mergeCell ref="T6:U6"/>
    <mergeCell ref="N6:O6"/>
    <mergeCell ref="P6:P8"/>
    <mergeCell ref="Q6:Q8"/>
    <mergeCell ref="F7:F8"/>
    <mergeCell ref="G7:G8"/>
    <mergeCell ref="N7:O7"/>
    <mergeCell ref="H5:H8"/>
    <mergeCell ref="I5:I8"/>
    <mergeCell ref="AD3:AO3"/>
    <mergeCell ref="AD4:AO4"/>
    <mergeCell ref="AD5:AI5"/>
    <mergeCell ref="AJ5:AO5"/>
    <mergeCell ref="AD6:AD8"/>
    <mergeCell ref="AE6:AE8"/>
    <mergeCell ref="AF6:AG6"/>
    <mergeCell ref="AH6:AH8"/>
    <mergeCell ref="AI6:AI8"/>
    <mergeCell ref="AL6:AM6"/>
    <mergeCell ref="AJ6:AJ8"/>
    <mergeCell ref="AK6:AK8"/>
    <mergeCell ref="AN6:AN8"/>
    <mergeCell ref="C36:Q36"/>
    <mergeCell ref="AO6:AO8"/>
    <mergeCell ref="AF7:AG7"/>
    <mergeCell ref="AL7:AM7"/>
    <mergeCell ref="C21:Q21"/>
    <mergeCell ref="C22:Q22"/>
    <mergeCell ref="C23:Q23"/>
    <mergeCell ref="AC6:AC8"/>
    <mergeCell ref="T7:U7"/>
    <mergeCell ref="Z7:AA7"/>
    <mergeCell ref="V6:V8"/>
    <mergeCell ref="W6:W8"/>
    <mergeCell ref="X6:X8"/>
    <mergeCell ref="Y6:Y8"/>
    <mergeCell ref="Z6:AA6"/>
    <mergeCell ref="AB6:AB8"/>
  </mergeCells>
  <hyperlinks>
    <hyperlink ref="P6" location="Par1991" display="Par1991" xr:uid="{00000000-0004-0000-0A00-000000000000}"/>
    <hyperlink ref="Q6" location="Par1992" display="Par1992" xr:uid="{00000000-0004-0000-0A00-000001000000}"/>
  </hyperlinks>
  <pageMargins left="0.39370078740157483" right="0.39370078740157483" top="0.78740157480314965" bottom="0.39370078740157483" header="0.31496062992125984" footer="0.31496062992125984"/>
  <pageSetup paperSize="9" scale="54" firstPageNumber="12" fitToWidth="4" fitToHeight="200" orientation="landscape" useFirstPageNumber="1" r:id="rId1"/>
  <rowBreaks count="1" manualBreakCount="1">
    <brk id="19" max="16383" man="1"/>
  </rowBreaks>
  <colBreaks count="1" manualBreakCount="1">
    <brk id="22" max="3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N27"/>
  <sheetViews>
    <sheetView view="pageBreakPreview" zoomScale="80" zoomScaleNormal="100" zoomScaleSheetLayoutView="80" workbookViewId="0">
      <selection activeCell="I9" sqref="I9:I11"/>
    </sheetView>
  </sheetViews>
  <sheetFormatPr defaultColWidth="9.140625" defaultRowHeight="15" x14ac:dyDescent="0.25"/>
  <cols>
    <col min="1" max="1" width="9.28515625" style="173" bestFit="1" customWidth="1"/>
    <col min="2" max="2" width="6" style="173" customWidth="1"/>
    <col min="3" max="3" width="11.7109375" style="173" customWidth="1"/>
    <col min="4" max="4" width="23.5703125" style="173" customWidth="1"/>
    <col min="5" max="5" width="17.42578125" style="173" customWidth="1"/>
    <col min="6" max="6" width="13" style="173" customWidth="1"/>
    <col min="7" max="7" width="11.85546875" style="173" customWidth="1"/>
    <col min="8" max="8" width="23.42578125" style="173" customWidth="1"/>
    <col min="9" max="9" width="26" style="173" customWidth="1"/>
    <col min="10" max="10" width="10.28515625" style="173" bestFit="1" customWidth="1"/>
    <col min="11" max="11" width="9.5703125" style="173" bestFit="1" customWidth="1"/>
    <col min="12" max="13" width="10.140625" style="173" bestFit="1" customWidth="1"/>
    <col min="14" max="14" width="12.85546875" style="173" bestFit="1" customWidth="1"/>
    <col min="15" max="15" width="10.5703125" style="173" bestFit="1" customWidth="1"/>
    <col min="16" max="16" width="9.28515625" style="173" bestFit="1" customWidth="1"/>
    <col min="17" max="17" width="11.85546875" style="173" bestFit="1" customWidth="1"/>
    <col min="18" max="18" width="9.28515625" style="173" bestFit="1" customWidth="1"/>
    <col min="19" max="19" width="9.140625" style="173" customWidth="1"/>
    <col min="20" max="21" width="9.28515625" style="173" bestFit="1" customWidth="1"/>
    <col min="22" max="22" width="12.5703125" style="173" bestFit="1" customWidth="1"/>
    <col min="23" max="23" width="9.28515625" style="173" bestFit="1" customWidth="1"/>
    <col min="24" max="24" width="11.5703125" style="173" bestFit="1" customWidth="1"/>
    <col min="25" max="28" width="9.28515625" style="173" bestFit="1" customWidth="1"/>
    <col min="29" max="16384" width="9.140625" style="173"/>
  </cols>
  <sheetData>
    <row r="1" spans="1:14" s="233" customFormat="1" ht="18.75" x14ac:dyDescent="0.25">
      <c r="A1" s="401" t="s">
        <v>1096</v>
      </c>
      <c r="B1" s="401"/>
      <c r="C1" s="401"/>
      <c r="D1" s="401"/>
      <c r="E1" s="401"/>
      <c r="F1" s="401"/>
      <c r="G1" s="401"/>
      <c r="H1" s="401"/>
      <c r="I1" s="401"/>
      <c r="J1" s="81"/>
      <c r="K1" s="81"/>
      <c r="L1" s="81"/>
      <c r="M1" s="81"/>
      <c r="N1" s="81"/>
    </row>
    <row r="2" spans="1:14" x14ac:dyDescent="0.25">
      <c r="D2" s="238"/>
    </row>
    <row r="3" spans="1:14" ht="100.15" customHeight="1" x14ac:dyDescent="0.25">
      <c r="A3" s="432" t="s">
        <v>129</v>
      </c>
      <c r="B3" s="432"/>
      <c r="C3" s="432"/>
      <c r="D3" s="432" t="s">
        <v>130</v>
      </c>
      <c r="E3" s="432" t="s">
        <v>131</v>
      </c>
      <c r="F3" s="432"/>
      <c r="G3" s="432"/>
      <c r="H3" s="432" t="s">
        <v>132</v>
      </c>
      <c r="I3" s="432" t="s">
        <v>133</v>
      </c>
    </row>
    <row r="4" spans="1:14" x14ac:dyDescent="0.25">
      <c r="A4" s="432"/>
      <c r="B4" s="432"/>
      <c r="C4" s="432"/>
      <c r="D4" s="432"/>
      <c r="E4" s="235" t="s">
        <v>134</v>
      </c>
      <c r="F4" s="235" t="s">
        <v>16</v>
      </c>
      <c r="G4" s="235" t="s">
        <v>17</v>
      </c>
      <c r="H4" s="432"/>
      <c r="I4" s="432"/>
    </row>
    <row r="5" spans="1:14" x14ac:dyDescent="0.25">
      <c r="A5" s="400">
        <v>1</v>
      </c>
      <c r="B5" s="400"/>
      <c r="C5" s="400"/>
      <c r="D5" s="232">
        <v>2</v>
      </c>
      <c r="E5" s="232">
        <v>3</v>
      </c>
      <c r="F5" s="232">
        <v>4</v>
      </c>
      <c r="G5" s="232">
        <v>5</v>
      </c>
      <c r="H5" s="232">
        <v>6</v>
      </c>
      <c r="I5" s="232">
        <v>7</v>
      </c>
    </row>
    <row r="6" spans="1:14" ht="43.5" customHeight="1" x14ac:dyDescent="0.25">
      <c r="A6" s="396" t="s">
        <v>135</v>
      </c>
      <c r="B6" s="396"/>
      <c r="C6" s="396"/>
      <c r="D6" s="232" t="s">
        <v>21</v>
      </c>
      <c r="E6" s="232" t="s">
        <v>21</v>
      </c>
      <c r="F6" s="232" t="s">
        <v>21</v>
      </c>
      <c r="G6" s="232" t="s">
        <v>21</v>
      </c>
      <c r="H6" s="232" t="s">
        <v>21</v>
      </c>
      <c r="I6" s="232" t="s">
        <v>21</v>
      </c>
    </row>
    <row r="7" spans="1:14" ht="25.5" x14ac:dyDescent="0.25">
      <c r="A7" s="485" t="s">
        <v>975</v>
      </c>
      <c r="B7" s="485"/>
      <c r="C7" s="485"/>
      <c r="D7" s="250" t="s">
        <v>976</v>
      </c>
      <c r="E7" s="250" t="s">
        <v>982</v>
      </c>
      <c r="F7" s="256">
        <v>42366</v>
      </c>
      <c r="G7" s="250" t="s">
        <v>983</v>
      </c>
      <c r="H7" s="251">
        <v>321363.25</v>
      </c>
      <c r="I7" s="251">
        <v>899940.12</v>
      </c>
    </row>
    <row r="8" spans="1:14" ht="33.75" customHeight="1" x14ac:dyDescent="0.25">
      <c r="A8" s="486" t="s">
        <v>977</v>
      </c>
      <c r="B8" s="486"/>
      <c r="C8" s="486"/>
      <c r="D8" s="250" t="s">
        <v>978</v>
      </c>
      <c r="E8" s="250" t="s">
        <v>980</v>
      </c>
      <c r="F8" s="256">
        <v>40462</v>
      </c>
      <c r="G8" s="257" t="s">
        <v>981</v>
      </c>
      <c r="H8" s="251">
        <v>1421768.07</v>
      </c>
      <c r="I8" s="251">
        <v>171087.02</v>
      </c>
    </row>
    <row r="9" spans="1:14" ht="33.75" customHeight="1" x14ac:dyDescent="0.25">
      <c r="A9" s="486" t="s">
        <v>1497</v>
      </c>
      <c r="B9" s="486"/>
      <c r="C9" s="486"/>
      <c r="D9" s="250" t="s">
        <v>979</v>
      </c>
      <c r="E9" s="250" t="s">
        <v>980</v>
      </c>
      <c r="F9" s="256">
        <v>45589</v>
      </c>
      <c r="G9" s="250" t="s">
        <v>1498</v>
      </c>
      <c r="H9" s="251"/>
      <c r="I9" s="251">
        <v>23057765.739999998</v>
      </c>
    </row>
    <row r="10" spans="1:14" ht="40.5" customHeight="1" x14ac:dyDescent="0.25">
      <c r="A10" s="486" t="s">
        <v>1500</v>
      </c>
      <c r="B10" s="486"/>
      <c r="C10" s="486"/>
      <c r="D10" s="250" t="s">
        <v>979</v>
      </c>
      <c r="E10" s="250" t="s">
        <v>980</v>
      </c>
      <c r="F10" s="256">
        <v>45589</v>
      </c>
      <c r="G10" s="250" t="s">
        <v>1499</v>
      </c>
      <c r="H10" s="251"/>
      <c r="I10" s="251">
        <v>23116942.399999999</v>
      </c>
    </row>
    <row r="11" spans="1:14" ht="38.25" x14ac:dyDescent="0.25">
      <c r="A11" s="486" t="s">
        <v>1501</v>
      </c>
      <c r="B11" s="486"/>
      <c r="C11" s="486"/>
      <c r="D11" s="250" t="s">
        <v>979</v>
      </c>
      <c r="E11" s="250" t="s">
        <v>980</v>
      </c>
      <c r="F11" s="256">
        <v>45589</v>
      </c>
      <c r="G11" s="250" t="s">
        <v>1502</v>
      </c>
      <c r="H11" s="251"/>
      <c r="I11" s="251">
        <v>23108906.059999999</v>
      </c>
    </row>
    <row r="12" spans="1:14" ht="53.25" customHeight="1" x14ac:dyDescent="0.25">
      <c r="A12" s="486" t="s">
        <v>1295</v>
      </c>
      <c r="B12" s="486"/>
      <c r="C12" s="486"/>
      <c r="D12" s="250" t="s">
        <v>979</v>
      </c>
      <c r="E12" s="250" t="s">
        <v>980</v>
      </c>
      <c r="F12" s="256">
        <v>45044</v>
      </c>
      <c r="G12" s="250" t="s">
        <v>1298</v>
      </c>
      <c r="H12" s="251">
        <v>49320532.689999998</v>
      </c>
      <c r="I12" s="251"/>
    </row>
    <row r="13" spans="1:14" ht="36" customHeight="1" x14ac:dyDescent="0.25">
      <c r="A13" s="486" t="s">
        <v>1296</v>
      </c>
      <c r="B13" s="486"/>
      <c r="C13" s="486"/>
      <c r="D13" s="250" t="s">
        <v>979</v>
      </c>
      <c r="E13" s="250" t="s">
        <v>980</v>
      </c>
      <c r="F13" s="256">
        <v>45044</v>
      </c>
      <c r="G13" s="250" t="s">
        <v>1299</v>
      </c>
      <c r="H13" s="390">
        <v>53863618.289999999</v>
      </c>
      <c r="I13" s="251"/>
    </row>
    <row r="14" spans="1:14" ht="14.25" customHeight="1" x14ac:dyDescent="0.25">
      <c r="A14" s="487" t="s">
        <v>1297</v>
      </c>
      <c r="B14" s="488"/>
      <c r="C14" s="489"/>
      <c r="D14" s="250" t="s">
        <v>979</v>
      </c>
      <c r="E14" s="250" t="s">
        <v>980</v>
      </c>
      <c r="F14" s="256">
        <v>45042</v>
      </c>
      <c r="G14" s="257" t="s">
        <v>1300</v>
      </c>
      <c r="H14" s="390">
        <v>53599883.009999998</v>
      </c>
      <c r="I14" s="251"/>
    </row>
    <row r="15" spans="1:14" x14ac:dyDescent="0.25">
      <c r="A15" s="396" t="s">
        <v>136</v>
      </c>
      <c r="B15" s="396"/>
      <c r="C15" s="396"/>
      <c r="D15" s="232" t="s">
        <v>299</v>
      </c>
      <c r="E15" s="232" t="s">
        <v>299</v>
      </c>
      <c r="F15" s="232" t="s">
        <v>299</v>
      </c>
      <c r="G15" s="232" t="s">
        <v>299</v>
      </c>
      <c r="H15" s="239" t="s">
        <v>299</v>
      </c>
      <c r="I15" s="239" t="s">
        <v>299</v>
      </c>
    </row>
    <row r="16" spans="1:14" ht="45" customHeight="1" x14ac:dyDescent="0.25">
      <c r="A16" s="396" t="s">
        <v>137</v>
      </c>
      <c r="B16" s="396"/>
      <c r="C16" s="396"/>
      <c r="D16" s="232" t="s">
        <v>21</v>
      </c>
      <c r="E16" s="232" t="s">
        <v>21</v>
      </c>
      <c r="F16" s="232" t="s">
        <v>21</v>
      </c>
      <c r="G16" s="232" t="s">
        <v>21</v>
      </c>
      <c r="H16" s="232" t="s">
        <v>21</v>
      </c>
      <c r="I16" s="232" t="s">
        <v>21</v>
      </c>
    </row>
    <row r="17" spans="1:14" x14ac:dyDescent="0.25">
      <c r="A17" s="484"/>
      <c r="B17" s="484"/>
      <c r="C17" s="484"/>
      <c r="D17" s="232"/>
      <c r="E17" s="232"/>
      <c r="F17" s="232"/>
      <c r="G17" s="232"/>
      <c r="H17" s="232"/>
      <c r="I17" s="232"/>
    </row>
    <row r="18" spans="1:14" x14ac:dyDescent="0.25">
      <c r="A18" s="484"/>
      <c r="B18" s="484"/>
      <c r="C18" s="484"/>
      <c r="D18" s="232"/>
      <c r="E18" s="232"/>
      <c r="F18" s="232"/>
      <c r="G18" s="232"/>
      <c r="H18" s="232"/>
      <c r="I18" s="232"/>
    </row>
    <row r="19" spans="1:14" x14ac:dyDescent="0.25">
      <c r="A19" s="396" t="s">
        <v>136</v>
      </c>
      <c r="B19" s="396"/>
      <c r="C19" s="396"/>
      <c r="D19" s="232" t="s">
        <v>299</v>
      </c>
      <c r="E19" s="232" t="s">
        <v>299</v>
      </c>
      <c r="F19" s="232" t="s">
        <v>299</v>
      </c>
      <c r="G19" s="232" t="s">
        <v>299</v>
      </c>
      <c r="H19" s="232"/>
      <c r="I19" s="232"/>
    </row>
    <row r="20" spans="1:14" x14ac:dyDescent="0.25">
      <c r="A20" s="396" t="s">
        <v>20</v>
      </c>
      <c r="B20" s="396"/>
      <c r="C20" s="396"/>
      <c r="D20" s="232" t="s">
        <v>21</v>
      </c>
      <c r="E20" s="232" t="s">
        <v>21</v>
      </c>
      <c r="F20" s="232" t="s">
        <v>21</v>
      </c>
      <c r="G20" s="232" t="s">
        <v>21</v>
      </c>
      <c r="H20" s="239"/>
      <c r="I20" s="239"/>
    </row>
    <row r="21" spans="1:14" x14ac:dyDescent="0.25">
      <c r="A21" s="241"/>
      <c r="B21" s="241"/>
      <c r="C21" s="241"/>
      <c r="D21" s="241"/>
      <c r="E21" s="241"/>
      <c r="F21" s="241"/>
      <c r="G21" s="241"/>
      <c r="H21" s="241"/>
      <c r="I21" s="241"/>
    </row>
    <row r="22" spans="1:14" x14ac:dyDescent="0.25">
      <c r="A22" s="464" t="s">
        <v>37</v>
      </c>
      <c r="B22" s="464"/>
      <c r="C22" s="464"/>
      <c r="D22" s="464"/>
    </row>
    <row r="23" spans="1:14" ht="22.5" customHeight="1" x14ac:dyDescent="0.25">
      <c r="A23" s="463" t="s">
        <v>1398</v>
      </c>
      <c r="B23" s="463"/>
      <c r="C23" s="463"/>
      <c r="D23" s="463"/>
      <c r="E23" s="463"/>
      <c r="F23" s="463"/>
      <c r="G23" s="463"/>
      <c r="H23" s="463"/>
      <c r="I23" s="463"/>
      <c r="J23" s="71"/>
      <c r="K23" s="71"/>
      <c r="L23" s="71"/>
      <c r="M23" s="71"/>
      <c r="N23" s="71"/>
    </row>
    <row r="24" spans="1:14" x14ac:dyDescent="0.25">
      <c r="A24" s="71" t="s">
        <v>1399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</row>
    <row r="25" spans="1:14" x14ac:dyDescent="0.25">
      <c r="D25" s="238"/>
    </row>
    <row r="26" spans="1:14" x14ac:dyDescent="0.25">
      <c r="D26" s="238"/>
    </row>
    <row r="27" spans="1:14" x14ac:dyDescent="0.25">
      <c r="D27" s="238"/>
    </row>
  </sheetData>
  <mergeCells count="24">
    <mergeCell ref="H3:H4"/>
    <mergeCell ref="I3:I4"/>
    <mergeCell ref="A22:D22"/>
    <mergeCell ref="A23:I23"/>
    <mergeCell ref="A19:C19"/>
    <mergeCell ref="A20:C20"/>
    <mergeCell ref="A12:C12"/>
    <mergeCell ref="A14:C14"/>
    <mergeCell ref="A1:I1"/>
    <mergeCell ref="A16:C16"/>
    <mergeCell ref="A17:C17"/>
    <mergeCell ref="A18:C18"/>
    <mergeCell ref="A5:C5"/>
    <mergeCell ref="A6:C6"/>
    <mergeCell ref="A7:C7"/>
    <mergeCell ref="A8:C8"/>
    <mergeCell ref="A13:C13"/>
    <mergeCell ref="A15:C15"/>
    <mergeCell ref="A3:C4"/>
    <mergeCell ref="D3:D4"/>
    <mergeCell ref="A9:C9"/>
    <mergeCell ref="A10:C10"/>
    <mergeCell ref="A11:C11"/>
    <mergeCell ref="E3:G3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84" firstPageNumber="12" fitToWidth="2" fitToHeight="200" orientation="landscape" useFirstPageNumber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K44"/>
  <sheetViews>
    <sheetView view="pageBreakPreview" topLeftCell="C1" zoomScale="80" zoomScaleNormal="100" zoomScaleSheetLayoutView="80" workbookViewId="0">
      <selection activeCell="C22" sqref="C22"/>
    </sheetView>
  </sheetViews>
  <sheetFormatPr defaultColWidth="9.140625" defaultRowHeight="15" x14ac:dyDescent="0.25"/>
  <cols>
    <col min="1" max="1" width="9.28515625" style="53" bestFit="1" customWidth="1"/>
    <col min="2" max="2" width="6" style="53" customWidth="1"/>
    <col min="3" max="3" width="11.7109375" style="53" customWidth="1"/>
    <col min="4" max="4" width="7.7109375" style="53" customWidth="1"/>
    <col min="5" max="5" width="17.42578125" style="53" customWidth="1"/>
    <col min="6" max="6" width="9.28515625" style="53" bestFit="1" customWidth="1"/>
    <col min="7" max="7" width="11.85546875" style="53" bestFit="1" customWidth="1"/>
    <col min="8" max="8" width="10.140625" style="53" bestFit="1" customWidth="1"/>
    <col min="9" max="9" width="12.42578125" style="53" customWidth="1"/>
    <col min="10" max="10" width="12.42578125" style="53" bestFit="1" customWidth="1"/>
    <col min="11" max="11" width="9.5703125" style="53" bestFit="1" customWidth="1"/>
    <col min="12" max="13" width="10.140625" style="53" bestFit="1" customWidth="1"/>
    <col min="14" max="14" width="12.85546875" style="53" bestFit="1" customWidth="1"/>
    <col min="15" max="15" width="10.5703125" style="53" bestFit="1" customWidth="1"/>
    <col min="16" max="16" width="9.28515625" style="53" bestFit="1" customWidth="1"/>
    <col min="17" max="17" width="11.85546875" style="53" bestFit="1" customWidth="1"/>
    <col min="18" max="18" width="9.28515625" style="53" bestFit="1" customWidth="1"/>
    <col min="19" max="19" width="9.140625" style="53" customWidth="1"/>
    <col min="20" max="21" width="9.28515625" style="53" bestFit="1" customWidth="1"/>
    <col min="22" max="22" width="12.5703125" style="53" bestFit="1" customWidth="1"/>
    <col min="23" max="25" width="9.28515625" style="53" bestFit="1" customWidth="1"/>
    <col min="26" max="27" width="9.140625" style="53"/>
    <col min="28" max="28" width="13.140625" style="53" customWidth="1"/>
    <col min="29" max="29" width="10.85546875" style="53" bestFit="1" customWidth="1"/>
    <col min="30" max="31" width="9.140625" style="53"/>
    <col min="32" max="32" width="13" style="53" customWidth="1"/>
    <col min="33" max="16384" width="9.140625" style="53"/>
  </cols>
  <sheetData>
    <row r="1" spans="1:37" s="80" customFormat="1" ht="18.75" x14ac:dyDescent="0.25">
      <c r="B1" s="81"/>
      <c r="C1" s="81" t="s">
        <v>286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spans="1:37" s="69" customForma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37" s="74" customFormat="1" ht="15" customHeight="1" x14ac:dyDescent="0.25">
      <c r="C3" s="75" t="s">
        <v>263</v>
      </c>
      <c r="D3" s="76"/>
      <c r="E3" s="76"/>
      <c r="F3" s="76"/>
    </row>
    <row r="4" spans="1:37" s="74" customFormat="1" ht="18.75" x14ac:dyDescent="0.25"/>
    <row r="5" spans="1:37" s="74" customFormat="1" ht="18.75" x14ac:dyDescent="0.25">
      <c r="C5" s="77"/>
      <c r="D5" s="77"/>
      <c r="E5" s="77"/>
      <c r="F5" s="78" t="s">
        <v>925</v>
      </c>
      <c r="G5" s="78"/>
    </row>
    <row r="6" spans="1:37" s="72" customFormat="1" ht="12" x14ac:dyDescent="0.25">
      <c r="C6" s="73" t="s">
        <v>303</v>
      </c>
      <c r="D6" s="73"/>
      <c r="E6" s="73"/>
      <c r="F6" s="73"/>
      <c r="G6" s="73"/>
    </row>
    <row r="7" spans="1:37" s="72" customFormat="1" ht="12" x14ac:dyDescent="0.25">
      <c r="C7" s="73" t="s">
        <v>304</v>
      </c>
      <c r="D7" s="73"/>
      <c r="E7" s="73"/>
      <c r="F7" s="73"/>
      <c r="G7" s="73"/>
    </row>
    <row r="8" spans="1:37" s="72" customFormat="1" ht="12" x14ac:dyDescent="0.25">
      <c r="C8" s="73" t="s">
        <v>305</v>
      </c>
      <c r="D8" s="73"/>
      <c r="E8" s="73"/>
      <c r="F8" s="73"/>
      <c r="G8" s="73"/>
    </row>
    <row r="9" spans="1:37" s="74" customFormat="1" ht="18.75" x14ac:dyDescent="0.25">
      <c r="C9" s="79" t="s">
        <v>264</v>
      </c>
    </row>
    <row r="10" spans="1:37" s="69" customFormat="1" x14ac:dyDescent="0.25">
      <c r="D10" s="65"/>
    </row>
    <row r="11" spans="1:37" s="80" customFormat="1" ht="18.75" x14ac:dyDescent="0.25">
      <c r="B11" s="81"/>
      <c r="C11" s="492" t="s">
        <v>954</v>
      </c>
      <c r="D11" s="492"/>
      <c r="E11" s="492"/>
      <c r="F11" s="492"/>
      <c r="G11" s="492"/>
      <c r="H11" s="492"/>
      <c r="I11" s="492"/>
      <c r="J11" s="492"/>
      <c r="K11" s="492"/>
      <c r="L11" s="81"/>
      <c r="M11" s="81"/>
      <c r="N11" s="81"/>
    </row>
    <row r="12" spans="1:37" s="80" customFormat="1" ht="18.75" x14ac:dyDescent="0.25">
      <c r="B12" s="81"/>
      <c r="C12" s="81" t="s">
        <v>953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</row>
    <row r="13" spans="1:37" s="69" customFormat="1" x14ac:dyDescent="0.25">
      <c r="D13" s="65"/>
    </row>
    <row r="14" spans="1:37" s="69" customFormat="1" ht="39.6" customHeight="1" x14ac:dyDescent="0.25">
      <c r="A14" s="432" t="s">
        <v>138</v>
      </c>
      <c r="B14" s="432"/>
      <c r="C14" s="432" t="s">
        <v>139</v>
      </c>
      <c r="D14" s="432" t="s">
        <v>913</v>
      </c>
      <c r="E14" s="432" t="s">
        <v>384</v>
      </c>
      <c r="F14" s="432" t="s">
        <v>140</v>
      </c>
      <c r="G14" s="432" t="s">
        <v>385</v>
      </c>
      <c r="H14" s="432" t="s">
        <v>386</v>
      </c>
      <c r="I14" s="432" t="s">
        <v>387</v>
      </c>
      <c r="J14" s="432" t="s">
        <v>388</v>
      </c>
      <c r="K14" s="432" t="s">
        <v>389</v>
      </c>
      <c r="L14" s="432" t="s">
        <v>141</v>
      </c>
      <c r="M14" s="432" t="s">
        <v>142</v>
      </c>
      <c r="N14" s="432"/>
      <c r="O14" s="400" t="s">
        <v>9</v>
      </c>
      <c r="P14" s="400" t="s">
        <v>143</v>
      </c>
      <c r="Q14" s="400"/>
      <c r="R14" s="400"/>
      <c r="S14" s="400"/>
      <c r="T14" s="400" t="s">
        <v>144</v>
      </c>
      <c r="U14" s="400"/>
      <c r="V14" s="400"/>
      <c r="W14" s="400"/>
      <c r="X14" s="400" t="s">
        <v>150</v>
      </c>
      <c r="Y14" s="400"/>
      <c r="Z14" s="400"/>
      <c r="AA14" s="400"/>
      <c r="AB14" s="400" t="s">
        <v>151</v>
      </c>
      <c r="AC14" s="400"/>
      <c r="AD14" s="400"/>
      <c r="AE14" s="400"/>
      <c r="AF14" s="400"/>
      <c r="AG14" s="400"/>
      <c r="AH14" s="400"/>
      <c r="AI14" s="400"/>
      <c r="AJ14" s="400"/>
      <c r="AK14" s="400"/>
    </row>
    <row r="15" spans="1:37" s="69" customFormat="1" ht="15" customHeight="1" x14ac:dyDescent="0.25">
      <c r="A15" s="432"/>
      <c r="B15" s="432"/>
      <c r="C15" s="432"/>
      <c r="D15" s="432"/>
      <c r="E15" s="432"/>
      <c r="F15" s="432"/>
      <c r="G15" s="432"/>
      <c r="H15" s="432"/>
      <c r="I15" s="432"/>
      <c r="J15" s="432"/>
      <c r="K15" s="432"/>
      <c r="L15" s="432"/>
      <c r="M15" s="432" t="s">
        <v>337</v>
      </c>
      <c r="N15" s="432" t="s">
        <v>19</v>
      </c>
      <c r="O15" s="400"/>
      <c r="P15" s="400" t="s">
        <v>15</v>
      </c>
      <c r="Q15" s="400" t="s">
        <v>54</v>
      </c>
      <c r="R15" s="400"/>
      <c r="S15" s="400"/>
      <c r="T15" s="400" t="s">
        <v>15</v>
      </c>
      <c r="U15" s="400" t="s">
        <v>54</v>
      </c>
      <c r="V15" s="400"/>
      <c r="W15" s="400"/>
      <c r="X15" s="400" t="s">
        <v>15</v>
      </c>
      <c r="Y15" s="400" t="s">
        <v>59</v>
      </c>
      <c r="Z15" s="400"/>
      <c r="AA15" s="400"/>
      <c r="AB15" s="400" t="s">
        <v>15</v>
      </c>
      <c r="AC15" s="400" t="s">
        <v>59</v>
      </c>
      <c r="AD15" s="400"/>
      <c r="AE15" s="400"/>
      <c r="AF15" s="400"/>
      <c r="AG15" s="400"/>
      <c r="AH15" s="400"/>
      <c r="AI15" s="400"/>
      <c r="AJ15" s="400"/>
      <c r="AK15" s="400"/>
    </row>
    <row r="16" spans="1:37" s="69" customFormat="1" ht="39.6" customHeight="1" x14ac:dyDescent="0.25">
      <c r="A16" s="432"/>
      <c r="B16" s="432"/>
      <c r="C16" s="432"/>
      <c r="D16" s="432"/>
      <c r="E16" s="432"/>
      <c r="F16" s="432"/>
      <c r="G16" s="432"/>
      <c r="H16" s="432"/>
      <c r="I16" s="432"/>
      <c r="J16" s="432"/>
      <c r="K16" s="432"/>
      <c r="L16" s="432"/>
      <c r="M16" s="432"/>
      <c r="N16" s="432"/>
      <c r="O16" s="400"/>
      <c r="P16" s="400"/>
      <c r="Q16" s="400" t="s">
        <v>145</v>
      </c>
      <c r="R16" s="400"/>
      <c r="S16" s="400" t="s">
        <v>146</v>
      </c>
      <c r="T16" s="400"/>
      <c r="U16" s="400" t="s">
        <v>392</v>
      </c>
      <c r="V16" s="400" t="s">
        <v>393</v>
      </c>
      <c r="W16" s="400" t="s">
        <v>394</v>
      </c>
      <c r="X16" s="400"/>
      <c r="Y16" s="400" t="s">
        <v>919</v>
      </c>
      <c r="Z16" s="400" t="s">
        <v>152</v>
      </c>
      <c r="AA16" s="400"/>
      <c r="AB16" s="400"/>
      <c r="AC16" s="400" t="s">
        <v>153</v>
      </c>
      <c r="AD16" s="400"/>
      <c r="AE16" s="400"/>
      <c r="AF16" s="400" t="s">
        <v>154</v>
      </c>
      <c r="AG16" s="400"/>
      <c r="AH16" s="400"/>
      <c r="AI16" s="400" t="s">
        <v>155</v>
      </c>
      <c r="AJ16" s="400"/>
      <c r="AK16" s="400"/>
    </row>
    <row r="17" spans="1:37" s="69" customFormat="1" ht="19.5" customHeight="1" x14ac:dyDescent="0.25">
      <c r="A17" s="432"/>
      <c r="B17" s="432"/>
      <c r="C17" s="432"/>
      <c r="D17" s="432"/>
      <c r="E17" s="432"/>
      <c r="F17" s="432"/>
      <c r="G17" s="432"/>
      <c r="H17" s="432"/>
      <c r="I17" s="432"/>
      <c r="J17" s="432"/>
      <c r="K17" s="432"/>
      <c r="L17" s="432"/>
      <c r="M17" s="432"/>
      <c r="N17" s="432"/>
      <c r="O17" s="400"/>
      <c r="P17" s="400"/>
      <c r="Q17" s="490" t="s">
        <v>390</v>
      </c>
      <c r="R17" s="490" t="s">
        <v>391</v>
      </c>
      <c r="S17" s="400"/>
      <c r="T17" s="400"/>
      <c r="U17" s="400"/>
      <c r="V17" s="400"/>
      <c r="W17" s="400"/>
      <c r="X17" s="400"/>
      <c r="Y17" s="400"/>
      <c r="Z17" s="400" t="s">
        <v>156</v>
      </c>
      <c r="AA17" s="400" t="s">
        <v>157</v>
      </c>
      <c r="AB17" s="400"/>
      <c r="AC17" s="400" t="s">
        <v>15</v>
      </c>
      <c r="AD17" s="400" t="s">
        <v>59</v>
      </c>
      <c r="AE17" s="400"/>
      <c r="AF17" s="400" t="s">
        <v>15</v>
      </c>
      <c r="AG17" s="400" t="s">
        <v>59</v>
      </c>
      <c r="AH17" s="400"/>
      <c r="AI17" s="400" t="s">
        <v>15</v>
      </c>
      <c r="AJ17" s="400" t="s">
        <v>59</v>
      </c>
      <c r="AK17" s="400"/>
    </row>
    <row r="18" spans="1:37" s="69" customFormat="1" ht="76.5" x14ac:dyDescent="0.25">
      <c r="A18" s="432"/>
      <c r="B18" s="432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2"/>
      <c r="O18" s="400"/>
      <c r="P18" s="400"/>
      <c r="Q18" s="491"/>
      <c r="R18" s="491"/>
      <c r="S18" s="400"/>
      <c r="T18" s="400"/>
      <c r="U18" s="400"/>
      <c r="V18" s="400"/>
      <c r="W18" s="400"/>
      <c r="X18" s="400"/>
      <c r="Y18" s="400"/>
      <c r="Z18" s="400"/>
      <c r="AA18" s="400"/>
      <c r="AB18" s="400"/>
      <c r="AC18" s="400"/>
      <c r="AD18" s="61" t="s">
        <v>1098</v>
      </c>
      <c r="AE18" s="61" t="s">
        <v>1097</v>
      </c>
      <c r="AF18" s="400"/>
      <c r="AG18" s="136" t="s">
        <v>1098</v>
      </c>
      <c r="AH18" s="136" t="s">
        <v>1097</v>
      </c>
      <c r="AI18" s="400"/>
      <c r="AJ18" s="136" t="s">
        <v>1098</v>
      </c>
      <c r="AK18" s="136" t="s">
        <v>1097</v>
      </c>
    </row>
    <row r="19" spans="1:37" s="69" customFormat="1" x14ac:dyDescent="0.25">
      <c r="A19" s="432">
        <v>1</v>
      </c>
      <c r="B19" s="432"/>
      <c r="C19" s="63">
        <v>2</v>
      </c>
      <c r="D19" s="63">
        <v>3</v>
      </c>
      <c r="E19" s="63">
        <v>4</v>
      </c>
      <c r="F19" s="63">
        <v>5</v>
      </c>
      <c r="G19" s="63">
        <v>6</v>
      </c>
      <c r="H19" s="63">
        <v>7</v>
      </c>
      <c r="I19" s="63">
        <v>8</v>
      </c>
      <c r="J19" s="63">
        <v>9</v>
      </c>
      <c r="K19" s="63">
        <v>10</v>
      </c>
      <c r="L19" s="63">
        <v>11</v>
      </c>
      <c r="M19" s="63">
        <v>12</v>
      </c>
      <c r="N19" s="63">
        <v>13</v>
      </c>
      <c r="O19" s="61">
        <v>14</v>
      </c>
      <c r="P19" s="61">
        <v>15</v>
      </c>
      <c r="Q19" s="61">
        <v>16</v>
      </c>
      <c r="R19" s="61">
        <v>17</v>
      </c>
      <c r="S19" s="61">
        <v>18</v>
      </c>
      <c r="T19" s="61">
        <v>19</v>
      </c>
      <c r="U19" s="61">
        <v>20</v>
      </c>
      <c r="V19" s="61">
        <v>21</v>
      </c>
      <c r="W19" s="61">
        <v>22</v>
      </c>
      <c r="X19" s="61">
        <v>23</v>
      </c>
      <c r="Y19" s="61">
        <v>24</v>
      </c>
      <c r="Z19" s="61">
        <v>25</v>
      </c>
      <c r="AA19" s="61">
        <v>26</v>
      </c>
      <c r="AB19" s="61">
        <v>27</v>
      </c>
      <c r="AC19" s="61">
        <v>28</v>
      </c>
      <c r="AD19" s="61">
        <v>29</v>
      </c>
      <c r="AE19" s="61">
        <v>30</v>
      </c>
      <c r="AF19" s="61">
        <v>31</v>
      </c>
      <c r="AG19" s="61">
        <v>32</v>
      </c>
      <c r="AH19" s="61">
        <v>33</v>
      </c>
      <c r="AI19" s="61">
        <v>34</v>
      </c>
      <c r="AJ19" s="61">
        <v>35</v>
      </c>
      <c r="AK19" s="61">
        <v>36</v>
      </c>
    </row>
    <row r="20" spans="1:37" s="69" customFormat="1" ht="45.6" customHeight="1" x14ac:dyDescent="0.25">
      <c r="A20" s="400" t="s">
        <v>326</v>
      </c>
      <c r="B20" s="400"/>
      <c r="C20" s="63" t="s">
        <v>21</v>
      </c>
      <c r="D20" s="63" t="s">
        <v>299</v>
      </c>
      <c r="E20" s="63" t="s">
        <v>21</v>
      </c>
      <c r="F20" s="63" t="s">
        <v>21</v>
      </c>
      <c r="G20" s="63"/>
      <c r="H20" s="63" t="s">
        <v>299</v>
      </c>
      <c r="I20" s="63" t="s">
        <v>299</v>
      </c>
      <c r="J20" s="63" t="s">
        <v>299</v>
      </c>
      <c r="K20" s="63" t="s">
        <v>299</v>
      </c>
      <c r="L20" s="63" t="s">
        <v>21</v>
      </c>
      <c r="M20" s="63" t="s">
        <v>21</v>
      </c>
      <c r="N20" s="63" t="s">
        <v>21</v>
      </c>
      <c r="O20" s="61">
        <v>1000</v>
      </c>
      <c r="P20" s="39">
        <f>P21</f>
        <v>286.7</v>
      </c>
      <c r="Q20" s="39">
        <f t="shared" ref="Q20:S20" si="0">Q21</f>
        <v>286.7</v>
      </c>
      <c r="R20" s="39">
        <f t="shared" si="0"/>
        <v>286.7</v>
      </c>
      <c r="S20" s="39">
        <f t="shared" si="0"/>
        <v>286.7</v>
      </c>
      <c r="T20" s="61"/>
      <c r="U20" s="61"/>
      <c r="V20" s="61"/>
      <c r="W20" s="61"/>
      <c r="X20" s="155"/>
      <c r="Y20" s="155"/>
      <c r="Z20" s="155"/>
      <c r="AA20" s="155"/>
      <c r="AB20" s="340">
        <f>AB21</f>
        <v>862690.7300000001</v>
      </c>
      <c r="AC20" s="340">
        <f t="shared" ref="AC20:AF20" si="1">AC21</f>
        <v>472258.41000000003</v>
      </c>
      <c r="AD20" s="340">
        <f t="shared" si="1"/>
        <v>0</v>
      </c>
      <c r="AE20" s="340">
        <f t="shared" si="1"/>
        <v>0</v>
      </c>
      <c r="AF20" s="340">
        <f t="shared" si="1"/>
        <v>390432.32</v>
      </c>
      <c r="AG20" s="155"/>
      <c r="AH20" s="155"/>
      <c r="AI20" s="155"/>
      <c r="AJ20" s="155"/>
      <c r="AK20" s="155"/>
    </row>
    <row r="21" spans="1:37" s="69" customFormat="1" ht="15" customHeight="1" x14ac:dyDescent="0.25">
      <c r="A21" s="432" t="s">
        <v>54</v>
      </c>
      <c r="B21" s="432"/>
      <c r="C21" s="63"/>
      <c r="D21" s="63"/>
      <c r="E21" s="63"/>
      <c r="F21" s="63"/>
      <c r="G21" s="63"/>
      <c r="H21" s="38">
        <f>H22+H23</f>
        <v>625.70000000000005</v>
      </c>
      <c r="I21" s="168">
        <f t="shared" ref="I21" si="2">I22+I23</f>
        <v>8035051.96</v>
      </c>
      <c r="J21" s="168">
        <f>J22+J23</f>
        <v>7832844.8700000001</v>
      </c>
      <c r="K21" s="63"/>
      <c r="L21" s="63"/>
      <c r="M21" s="63"/>
      <c r="N21" s="63"/>
      <c r="O21" s="61">
        <v>1001</v>
      </c>
      <c r="P21" s="168">
        <f t="shared" ref="P21" si="3">P22+P23</f>
        <v>286.7</v>
      </c>
      <c r="Q21" s="168">
        <f t="shared" ref="Q21" si="4">Q22+Q23</f>
        <v>286.7</v>
      </c>
      <c r="R21" s="168">
        <f t="shared" ref="R21" si="5">R22+R23</f>
        <v>286.7</v>
      </c>
      <c r="S21" s="168">
        <f t="shared" ref="S21" si="6">S22+S23</f>
        <v>286.7</v>
      </c>
      <c r="T21" s="61"/>
      <c r="U21" s="61"/>
      <c r="V21" s="61"/>
      <c r="W21" s="61"/>
      <c r="X21" s="168">
        <f t="shared" ref="X21" si="7">X22+X23</f>
        <v>0</v>
      </c>
      <c r="Y21" s="155"/>
      <c r="Z21" s="155"/>
      <c r="AA21" s="155"/>
      <c r="AB21" s="340">
        <f>AB22+AB23</f>
        <v>862690.7300000001</v>
      </c>
      <c r="AC21" s="340">
        <f t="shared" ref="AC21:AE21" si="8">AC22+AC23</f>
        <v>472258.41000000003</v>
      </c>
      <c r="AD21" s="340">
        <f t="shared" si="8"/>
        <v>0</v>
      </c>
      <c r="AE21" s="340">
        <f t="shared" si="8"/>
        <v>0</v>
      </c>
      <c r="AF21" s="340">
        <f>AF22+AF23</f>
        <v>390432.32</v>
      </c>
      <c r="AG21" s="155"/>
      <c r="AH21" s="155"/>
      <c r="AI21" s="155"/>
      <c r="AJ21" s="155"/>
      <c r="AK21" s="155"/>
    </row>
    <row r="22" spans="1:37" s="173" customFormat="1" ht="63.75" customHeight="1" x14ac:dyDescent="0.25">
      <c r="A22" s="400" t="s">
        <v>927</v>
      </c>
      <c r="B22" s="400"/>
      <c r="C22" s="183" t="s">
        <v>502</v>
      </c>
      <c r="D22" s="235" t="s">
        <v>926</v>
      </c>
      <c r="E22" s="235" t="s">
        <v>934</v>
      </c>
      <c r="F22" s="40" t="s">
        <v>922</v>
      </c>
      <c r="G22" s="235"/>
      <c r="H22" s="235">
        <v>246.5</v>
      </c>
      <c r="I22" s="242">
        <v>481051.96</v>
      </c>
      <c r="J22" s="242">
        <v>409587.24</v>
      </c>
      <c r="K22" s="235" t="s">
        <v>933</v>
      </c>
      <c r="L22" s="235">
        <v>1975</v>
      </c>
      <c r="M22" s="357" t="s">
        <v>1400</v>
      </c>
      <c r="N22" s="40" t="s">
        <v>935</v>
      </c>
      <c r="O22" s="232">
        <v>1002</v>
      </c>
      <c r="P22" s="232"/>
      <c r="Q22" s="232"/>
      <c r="R22" s="232"/>
      <c r="S22" s="232"/>
      <c r="T22" s="232">
        <v>246.5</v>
      </c>
      <c r="U22" s="232"/>
      <c r="V22" s="232">
        <v>246.5</v>
      </c>
      <c r="W22" s="232"/>
      <c r="X22" s="258"/>
      <c r="Y22" s="258"/>
      <c r="Z22" s="258"/>
      <c r="AA22" s="258"/>
      <c r="AB22" s="340">
        <f>AC22+AF22</f>
        <v>276926.79000000004</v>
      </c>
      <c r="AC22" s="340">
        <v>130176.13</v>
      </c>
      <c r="AD22" s="340"/>
      <c r="AE22" s="340"/>
      <c r="AF22" s="340">
        <v>146750.66</v>
      </c>
      <c r="AG22" s="262"/>
      <c r="AH22" s="262"/>
      <c r="AI22" s="262"/>
      <c r="AJ22" s="262"/>
      <c r="AK22" s="262"/>
    </row>
    <row r="23" spans="1:37" s="173" customFormat="1" ht="72.75" customHeight="1" x14ac:dyDescent="0.25">
      <c r="A23" s="400" t="s">
        <v>928</v>
      </c>
      <c r="B23" s="400"/>
      <c r="C23" s="183" t="s">
        <v>929</v>
      </c>
      <c r="D23" s="235" t="s">
        <v>930</v>
      </c>
      <c r="E23" s="235" t="s">
        <v>931</v>
      </c>
      <c r="F23" s="40" t="s">
        <v>922</v>
      </c>
      <c r="G23" s="235"/>
      <c r="H23" s="235">
        <v>379.2</v>
      </c>
      <c r="I23" s="242">
        <v>7554000</v>
      </c>
      <c r="J23" s="242">
        <v>7423257.6299999999</v>
      </c>
      <c r="K23" s="235" t="s">
        <v>932</v>
      </c>
      <c r="L23" s="235">
        <v>1988</v>
      </c>
      <c r="M23" s="357" t="s">
        <v>1400</v>
      </c>
      <c r="N23" s="40" t="s">
        <v>935</v>
      </c>
      <c r="O23" s="232">
        <v>1004</v>
      </c>
      <c r="P23" s="232">
        <v>286.7</v>
      </c>
      <c r="Q23" s="232">
        <f t="shared" ref="Q23:S23" si="9">P23</f>
        <v>286.7</v>
      </c>
      <c r="R23" s="232">
        <f t="shared" si="9"/>
        <v>286.7</v>
      </c>
      <c r="S23" s="232">
        <f t="shared" si="9"/>
        <v>286.7</v>
      </c>
      <c r="T23" s="232">
        <v>92.5</v>
      </c>
      <c r="U23" s="232"/>
      <c r="V23" s="232">
        <v>92.5</v>
      </c>
      <c r="W23" s="232"/>
      <c r="X23" s="258"/>
      <c r="Y23" s="259"/>
      <c r="Z23" s="258"/>
      <c r="AA23" s="258"/>
      <c r="AB23" s="340">
        <f>AC23+AF23</f>
        <v>585763.94000000006</v>
      </c>
      <c r="AC23" s="340">
        <v>342082.28</v>
      </c>
      <c r="AD23" s="340"/>
      <c r="AE23" s="340"/>
      <c r="AF23" s="340">
        <v>243681.66</v>
      </c>
      <c r="AG23" s="262"/>
      <c r="AH23" s="262"/>
      <c r="AI23" s="262"/>
      <c r="AJ23" s="262"/>
      <c r="AK23" s="262"/>
    </row>
    <row r="24" spans="1:37" s="69" customFormat="1" ht="44.25" customHeight="1" x14ac:dyDescent="0.25">
      <c r="A24" s="400" t="s">
        <v>327</v>
      </c>
      <c r="B24" s="400"/>
      <c r="C24" s="63" t="s">
        <v>21</v>
      </c>
      <c r="D24" s="63" t="s">
        <v>299</v>
      </c>
      <c r="E24" s="63" t="s">
        <v>21</v>
      </c>
      <c r="F24" s="63" t="s">
        <v>21</v>
      </c>
      <c r="G24" s="63"/>
      <c r="H24" s="63"/>
      <c r="I24" s="63"/>
      <c r="J24" s="63"/>
      <c r="K24" s="63" t="s">
        <v>299</v>
      </c>
      <c r="L24" s="63" t="s">
        <v>21</v>
      </c>
      <c r="M24" s="63" t="s">
        <v>21</v>
      </c>
      <c r="N24" s="63" t="s">
        <v>21</v>
      </c>
      <c r="O24" s="61">
        <v>2000</v>
      </c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</row>
    <row r="25" spans="1:37" s="69" customFormat="1" ht="17.45" customHeight="1" x14ac:dyDescent="0.25">
      <c r="A25" s="400" t="s">
        <v>54</v>
      </c>
      <c r="B25" s="400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>
        <v>2001</v>
      </c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</row>
    <row r="26" spans="1:37" s="69" customFormat="1" ht="18" customHeight="1" x14ac:dyDescent="0.25">
      <c r="A26" s="431"/>
      <c r="B26" s="43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</row>
    <row r="27" spans="1:37" s="69" customFormat="1" ht="55.15" customHeight="1" x14ac:dyDescent="0.25">
      <c r="A27" s="400" t="s">
        <v>147</v>
      </c>
      <c r="B27" s="400"/>
      <c r="C27" s="61" t="s">
        <v>21</v>
      </c>
      <c r="D27" s="61" t="s">
        <v>299</v>
      </c>
      <c r="E27" s="61" t="s">
        <v>21</v>
      </c>
      <c r="F27" s="61" t="s">
        <v>21</v>
      </c>
      <c r="G27" s="61"/>
      <c r="H27" s="61" t="s">
        <v>299</v>
      </c>
      <c r="I27" s="61" t="s">
        <v>299</v>
      </c>
      <c r="J27" s="61" t="s">
        <v>299</v>
      </c>
      <c r="K27" s="61" t="s">
        <v>299</v>
      </c>
      <c r="L27" s="61" t="s">
        <v>21</v>
      </c>
      <c r="M27" s="61" t="s">
        <v>21</v>
      </c>
      <c r="N27" s="61" t="s">
        <v>21</v>
      </c>
      <c r="O27" s="61">
        <v>3000</v>
      </c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</row>
    <row r="28" spans="1:37" s="69" customFormat="1" ht="18.600000000000001" customHeight="1" x14ac:dyDescent="0.25">
      <c r="A28" s="400" t="s">
        <v>54</v>
      </c>
      <c r="B28" s="400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>
        <v>3001</v>
      </c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</row>
    <row r="29" spans="1:37" s="69" customFormat="1" ht="16.899999999999999" customHeight="1" x14ac:dyDescent="0.25">
      <c r="A29" s="431"/>
      <c r="B29" s="43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</row>
    <row r="30" spans="1:37" s="69" customFormat="1" ht="43.15" customHeight="1" x14ac:dyDescent="0.25">
      <c r="A30" s="400" t="s">
        <v>148</v>
      </c>
      <c r="B30" s="400"/>
      <c r="C30" s="61" t="s">
        <v>21</v>
      </c>
      <c r="D30" s="61" t="s">
        <v>299</v>
      </c>
      <c r="E30" s="61" t="s">
        <v>21</v>
      </c>
      <c r="F30" s="61" t="s">
        <v>21</v>
      </c>
      <c r="G30" s="61"/>
      <c r="H30" s="61" t="s">
        <v>299</v>
      </c>
      <c r="I30" s="61" t="s">
        <v>299</v>
      </c>
      <c r="J30" s="61" t="s">
        <v>299</v>
      </c>
      <c r="K30" s="61" t="s">
        <v>299</v>
      </c>
      <c r="L30" s="61" t="s">
        <v>21</v>
      </c>
      <c r="M30" s="61" t="s">
        <v>21</v>
      </c>
      <c r="N30" s="61" t="s">
        <v>21</v>
      </c>
      <c r="O30" s="61">
        <v>4000</v>
      </c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</row>
    <row r="31" spans="1:37" s="69" customFormat="1" ht="16.149999999999999" customHeight="1" x14ac:dyDescent="0.25">
      <c r="A31" s="400" t="s">
        <v>54</v>
      </c>
      <c r="B31" s="400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>
        <v>4001</v>
      </c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</row>
    <row r="32" spans="1:37" s="69" customFormat="1" ht="16.149999999999999" customHeight="1" x14ac:dyDescent="0.25">
      <c r="A32" s="431"/>
      <c r="B32" s="43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</row>
    <row r="33" spans="1:37" s="69" customFormat="1" ht="42.6" customHeight="1" x14ac:dyDescent="0.25">
      <c r="A33" s="400" t="s">
        <v>149</v>
      </c>
      <c r="B33" s="400"/>
      <c r="C33" s="61" t="s">
        <v>21</v>
      </c>
      <c r="D33" s="61" t="s">
        <v>299</v>
      </c>
      <c r="E33" s="61" t="s">
        <v>21</v>
      </c>
      <c r="F33" s="61" t="s">
        <v>21</v>
      </c>
      <c r="G33" s="61"/>
      <c r="H33" s="61" t="s">
        <v>299</v>
      </c>
      <c r="I33" s="61" t="s">
        <v>299</v>
      </c>
      <c r="J33" s="61" t="s">
        <v>299</v>
      </c>
      <c r="K33" s="61" t="s">
        <v>299</v>
      </c>
      <c r="L33" s="61" t="s">
        <v>21</v>
      </c>
      <c r="M33" s="61" t="s">
        <v>21</v>
      </c>
      <c r="N33" s="61" t="s">
        <v>21</v>
      </c>
      <c r="O33" s="61">
        <v>5000</v>
      </c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</row>
    <row r="34" spans="1:37" s="69" customFormat="1" ht="18.600000000000001" customHeight="1" x14ac:dyDescent="0.25">
      <c r="A34" s="400" t="s">
        <v>54</v>
      </c>
      <c r="B34" s="400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>
        <v>5001</v>
      </c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</row>
    <row r="35" spans="1:37" s="69" customFormat="1" x14ac:dyDescent="0.25">
      <c r="A35" s="431"/>
      <c r="B35" s="431"/>
      <c r="C35" s="62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</row>
    <row r="36" spans="1:37" s="69" customFormat="1" x14ac:dyDescent="0.25">
      <c r="A36" s="400" t="s">
        <v>20</v>
      </c>
      <c r="B36" s="400"/>
      <c r="C36" s="61"/>
      <c r="D36" s="61"/>
      <c r="E36" s="61"/>
      <c r="F36" s="61"/>
      <c r="G36" s="61"/>
      <c r="H36" s="67">
        <f>H21</f>
        <v>625.70000000000005</v>
      </c>
      <c r="I36" s="67">
        <f t="shared" ref="I36" si="10">I21</f>
        <v>8035051.96</v>
      </c>
      <c r="J36" s="67">
        <f>J21</f>
        <v>7832844.8700000001</v>
      </c>
      <c r="K36" s="61"/>
      <c r="L36" s="61"/>
      <c r="M36" s="61"/>
      <c r="N36" s="61">
        <v>9000</v>
      </c>
      <c r="O36" s="61"/>
      <c r="P36" s="39">
        <f>P21</f>
        <v>286.7</v>
      </c>
      <c r="Q36" s="39">
        <f t="shared" ref="Q36:S36" si="11">Q21</f>
        <v>286.7</v>
      </c>
      <c r="R36" s="39">
        <f t="shared" si="11"/>
        <v>286.7</v>
      </c>
      <c r="S36" s="39">
        <f t="shared" si="11"/>
        <v>286.7</v>
      </c>
      <c r="T36" s="62"/>
      <c r="U36" s="62"/>
      <c r="V36" s="62"/>
      <c r="W36" s="62"/>
      <c r="X36" s="61"/>
      <c r="Y36" s="61"/>
      <c r="Z36" s="61"/>
      <c r="AA36" s="61"/>
      <c r="AB36" s="67">
        <f>AB21</f>
        <v>862690.7300000001</v>
      </c>
      <c r="AC36" s="67">
        <f t="shared" ref="AC36" si="12">AC21</f>
        <v>472258.41000000003</v>
      </c>
      <c r="AD36" s="67"/>
      <c r="AE36" s="67"/>
      <c r="AF36" s="67">
        <f t="shared" ref="AF36" si="13">AF21</f>
        <v>390432.32</v>
      </c>
      <c r="AG36" s="61"/>
      <c r="AH36" s="61"/>
      <c r="AI36" s="61"/>
      <c r="AJ36" s="61"/>
      <c r="AK36" s="61"/>
    </row>
    <row r="37" spans="1:37" s="69" customFormat="1" x14ac:dyDescent="0.25">
      <c r="B37" s="59"/>
      <c r="W37" s="47"/>
    </row>
    <row r="38" spans="1:37" s="69" customFormat="1" x14ac:dyDescent="0.25">
      <c r="B38" s="84"/>
      <c r="C38" s="82" t="s">
        <v>952</v>
      </c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</row>
    <row r="39" spans="1:37" s="69" customFormat="1" x14ac:dyDescent="0.25">
      <c r="B39" s="71"/>
      <c r="C39" s="71" t="s">
        <v>37</v>
      </c>
      <c r="D39" s="71"/>
    </row>
    <row r="40" spans="1:37" s="69" customFormat="1" x14ac:dyDescent="0.25">
      <c r="B40" s="83"/>
      <c r="C40" s="138" t="s">
        <v>1413</v>
      </c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</row>
    <row r="41" spans="1:37" s="69" customFormat="1" x14ac:dyDescent="0.25">
      <c r="B41" s="71"/>
      <c r="C41" s="137" t="s">
        <v>1402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</row>
    <row r="42" spans="1:37" s="69" customFormat="1" ht="31.15" customHeight="1" x14ac:dyDescent="0.25">
      <c r="B42" s="70"/>
      <c r="C42" s="137" t="s">
        <v>1403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</row>
    <row r="43" spans="1:37" s="69" customFormat="1" x14ac:dyDescent="0.25">
      <c r="C43" s="85" t="s">
        <v>1404</v>
      </c>
      <c r="D43" s="65"/>
    </row>
    <row r="44" spans="1:37" x14ac:dyDescent="0.25">
      <c r="C44" s="139" t="s">
        <v>1405</v>
      </c>
    </row>
  </sheetData>
  <mergeCells count="66">
    <mergeCell ref="C11:K11"/>
    <mergeCell ref="W16:W18"/>
    <mergeCell ref="A19:B19"/>
    <mergeCell ref="M14:N14"/>
    <mergeCell ref="O14:O18"/>
    <mergeCell ref="P14:S14"/>
    <mergeCell ref="T14:W14"/>
    <mergeCell ref="M15:M18"/>
    <mergeCell ref="N15:N18"/>
    <mergeCell ref="P15:P18"/>
    <mergeCell ref="Q15:S15"/>
    <mergeCell ref="T15:T18"/>
    <mergeCell ref="U15:W15"/>
    <mergeCell ref="G14:G18"/>
    <mergeCell ref="H14:H18"/>
    <mergeCell ref="I14:I18"/>
    <mergeCell ref="A24:B24"/>
    <mergeCell ref="Q16:R16"/>
    <mergeCell ref="S16:S18"/>
    <mergeCell ref="U16:U18"/>
    <mergeCell ref="A20:B20"/>
    <mergeCell ref="A21:B21"/>
    <mergeCell ref="A22:B22"/>
    <mergeCell ref="A23:B23"/>
    <mergeCell ref="AF17:AF18"/>
    <mergeCell ref="V16:V18"/>
    <mergeCell ref="K14:K18"/>
    <mergeCell ref="L14:L18"/>
    <mergeCell ref="A14:B18"/>
    <mergeCell ref="C14:C18"/>
    <mergeCell ref="D14:D18"/>
    <mergeCell ref="E14:E18"/>
    <mergeCell ref="F14:F18"/>
    <mergeCell ref="J14:J18"/>
    <mergeCell ref="A36:B36"/>
    <mergeCell ref="AI17:AI18"/>
    <mergeCell ref="A35:B35"/>
    <mergeCell ref="X14:AA14"/>
    <mergeCell ref="AB14:AK14"/>
    <mergeCell ref="X15:X18"/>
    <mergeCell ref="Y15:AA15"/>
    <mergeCell ref="AB15:AB18"/>
    <mergeCell ref="AC15:AK15"/>
    <mergeCell ref="Y16:Y18"/>
    <mergeCell ref="Z16:AA16"/>
    <mergeCell ref="AC16:AE16"/>
    <mergeCell ref="AF16:AH16"/>
    <mergeCell ref="AI16:AK16"/>
    <mergeCell ref="Z17:Z18"/>
    <mergeCell ref="AA17:AA18"/>
    <mergeCell ref="AJ17:AK17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30:B30"/>
    <mergeCell ref="AG17:AH17"/>
    <mergeCell ref="Q17:Q18"/>
    <mergeCell ref="R17:R18"/>
    <mergeCell ref="AC17:AC18"/>
    <mergeCell ref="AD17:AE17"/>
  </mergeCells>
  <pageMargins left="0.39370078740157483" right="0.39370078740157483" top="0.78740157480314965" bottom="0.39370078740157483" header="0.31496062992125984" footer="0.31496062992125984"/>
  <pageSetup paperSize="9" scale="69" firstPageNumber="12" fitToWidth="2" fitToHeight="2" orientation="landscape" useFirstPageNumber="1" r:id="rId1"/>
  <rowBreaks count="1" manualBreakCount="1">
    <brk id="2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27"/>
  <sheetViews>
    <sheetView view="pageBreakPreview" zoomScale="80" zoomScaleNormal="100" zoomScaleSheetLayoutView="80" workbookViewId="0">
      <selection activeCell="J41" sqref="J41"/>
    </sheetView>
  </sheetViews>
  <sheetFormatPr defaultColWidth="9.140625" defaultRowHeight="15" x14ac:dyDescent="0.25"/>
  <cols>
    <col min="1" max="1" width="9.28515625" style="53" bestFit="1" customWidth="1"/>
    <col min="2" max="2" width="6" style="53" customWidth="1"/>
    <col min="3" max="3" width="11.7109375" style="53" customWidth="1"/>
    <col min="4" max="4" width="7.7109375" style="53" customWidth="1"/>
    <col min="5" max="5" width="17.42578125" style="53" customWidth="1"/>
    <col min="6" max="6" width="9.28515625" style="53" bestFit="1" customWidth="1"/>
    <col min="7" max="7" width="11.85546875" style="53" bestFit="1" customWidth="1"/>
    <col min="8" max="8" width="10.140625" style="53" bestFit="1" customWidth="1"/>
    <col min="9" max="9" width="12" style="53" customWidth="1"/>
    <col min="10" max="10" width="10.28515625" style="53" bestFit="1" customWidth="1"/>
    <col min="11" max="11" width="9.5703125" style="53" bestFit="1" customWidth="1"/>
    <col min="12" max="13" width="10.140625" style="53" bestFit="1" customWidth="1"/>
    <col min="14" max="14" width="12.85546875" style="53" bestFit="1" customWidth="1"/>
    <col min="15" max="15" width="10.5703125" style="53" bestFit="1" customWidth="1"/>
    <col min="16" max="16" width="9.28515625" style="53" bestFit="1" customWidth="1"/>
    <col min="17" max="17" width="11.85546875" style="53" bestFit="1" customWidth="1"/>
    <col min="18" max="18" width="9.28515625" style="53" bestFit="1" customWidth="1"/>
    <col min="19" max="19" width="9.140625" style="53" customWidth="1"/>
    <col min="20" max="21" width="9.28515625" style="53" bestFit="1" customWidth="1"/>
    <col min="22" max="22" width="12.5703125" style="53" bestFit="1" customWidth="1"/>
    <col min="23" max="23" width="9.28515625" style="53" bestFit="1" customWidth="1"/>
    <col min="24" max="24" width="11.5703125" style="53" bestFit="1" customWidth="1"/>
    <col min="25" max="28" width="9.28515625" style="53" bestFit="1" customWidth="1"/>
    <col min="29" max="16384" width="9.140625" style="53"/>
  </cols>
  <sheetData>
    <row r="1" spans="1:26" s="80" customFormat="1" ht="18.75" x14ac:dyDescent="0.25">
      <c r="B1" s="81"/>
      <c r="C1" s="81" t="s">
        <v>956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6" s="80" customFormat="1" ht="18.75" x14ac:dyDescent="0.25">
      <c r="B2" s="81"/>
      <c r="C2" s="81" t="s">
        <v>955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26" s="69" customFormat="1" x14ac:dyDescent="0.25">
      <c r="C3" s="85" t="s">
        <v>936</v>
      </c>
      <c r="D3" s="65"/>
    </row>
    <row r="4" spans="1:26" s="69" customFormat="1" ht="26.45" customHeight="1" x14ac:dyDescent="0.25">
      <c r="A4" s="400" t="s">
        <v>395</v>
      </c>
      <c r="B4" s="432" t="s">
        <v>139</v>
      </c>
      <c r="C4" s="432" t="s">
        <v>140</v>
      </c>
      <c r="D4" s="432" t="s">
        <v>396</v>
      </c>
      <c r="E4" s="432" t="s">
        <v>300</v>
      </c>
      <c r="F4" s="432" t="s">
        <v>387</v>
      </c>
      <c r="G4" s="432" t="s">
        <v>388</v>
      </c>
      <c r="H4" s="432" t="s">
        <v>397</v>
      </c>
      <c r="I4" s="432" t="s">
        <v>142</v>
      </c>
      <c r="J4" s="432"/>
      <c r="K4" s="400" t="s">
        <v>9</v>
      </c>
      <c r="L4" s="400" t="s">
        <v>136</v>
      </c>
      <c r="M4" s="400" t="s">
        <v>143</v>
      </c>
      <c r="N4" s="400"/>
      <c r="O4" s="400"/>
      <c r="P4" s="400"/>
      <c r="Q4" s="400" t="s">
        <v>398</v>
      </c>
      <c r="R4" s="400" t="s">
        <v>158</v>
      </c>
      <c r="S4" s="400"/>
      <c r="T4" s="400"/>
      <c r="U4" s="400"/>
      <c r="V4" s="400"/>
      <c r="W4" s="400" t="s">
        <v>159</v>
      </c>
      <c r="X4" s="400"/>
      <c r="Y4" s="400"/>
      <c r="Z4" s="400"/>
    </row>
    <row r="5" spans="1:26" s="69" customFormat="1" x14ac:dyDescent="0.25">
      <c r="A5" s="400"/>
      <c r="B5" s="432"/>
      <c r="C5" s="432"/>
      <c r="D5" s="432"/>
      <c r="E5" s="432"/>
      <c r="F5" s="432"/>
      <c r="G5" s="432"/>
      <c r="H5" s="432"/>
      <c r="I5" s="432"/>
      <c r="J5" s="432"/>
      <c r="K5" s="400"/>
      <c r="L5" s="400"/>
      <c r="M5" s="400"/>
      <c r="N5" s="400"/>
      <c r="O5" s="400"/>
      <c r="P5" s="400"/>
      <c r="Q5" s="400"/>
      <c r="R5" s="400"/>
      <c r="S5" s="400"/>
      <c r="T5" s="400"/>
      <c r="U5" s="400"/>
      <c r="V5" s="400"/>
      <c r="W5" s="400" t="s">
        <v>160</v>
      </c>
      <c r="X5" s="400"/>
      <c r="Y5" s="400"/>
      <c r="Z5" s="400"/>
    </row>
    <row r="6" spans="1:26" s="69" customFormat="1" ht="15" customHeight="1" x14ac:dyDescent="0.25">
      <c r="A6" s="400"/>
      <c r="B6" s="432"/>
      <c r="C6" s="432"/>
      <c r="D6" s="432"/>
      <c r="E6" s="432"/>
      <c r="F6" s="432"/>
      <c r="G6" s="432"/>
      <c r="H6" s="432"/>
      <c r="I6" s="432" t="s">
        <v>337</v>
      </c>
      <c r="J6" s="432" t="s">
        <v>19</v>
      </c>
      <c r="K6" s="400"/>
      <c r="L6" s="400"/>
      <c r="M6" s="400" t="s">
        <v>15</v>
      </c>
      <c r="N6" s="400" t="s">
        <v>54</v>
      </c>
      <c r="O6" s="400"/>
      <c r="P6" s="400"/>
      <c r="Q6" s="400"/>
      <c r="R6" s="400" t="s">
        <v>15</v>
      </c>
      <c r="S6" s="400" t="s">
        <v>54</v>
      </c>
      <c r="T6" s="400"/>
      <c r="U6" s="400"/>
      <c r="V6" s="400"/>
      <c r="W6" s="400" t="s">
        <v>15</v>
      </c>
      <c r="X6" s="400" t="s">
        <v>54</v>
      </c>
      <c r="Y6" s="400"/>
      <c r="Z6" s="400"/>
    </row>
    <row r="7" spans="1:26" s="69" customFormat="1" ht="39.6" customHeight="1" x14ac:dyDescent="0.25">
      <c r="A7" s="400"/>
      <c r="B7" s="432"/>
      <c r="C7" s="432"/>
      <c r="D7" s="432"/>
      <c r="E7" s="432"/>
      <c r="F7" s="432"/>
      <c r="G7" s="432"/>
      <c r="H7" s="432"/>
      <c r="I7" s="432"/>
      <c r="J7" s="432"/>
      <c r="K7" s="400"/>
      <c r="L7" s="400"/>
      <c r="M7" s="400"/>
      <c r="N7" s="400" t="s">
        <v>145</v>
      </c>
      <c r="O7" s="400"/>
      <c r="P7" s="400" t="s">
        <v>146</v>
      </c>
      <c r="Q7" s="400"/>
      <c r="R7" s="400"/>
      <c r="S7" s="400" t="s">
        <v>161</v>
      </c>
      <c r="T7" s="400"/>
      <c r="U7" s="400"/>
      <c r="V7" s="400" t="s">
        <v>162</v>
      </c>
      <c r="W7" s="400"/>
      <c r="X7" s="400" t="s">
        <v>163</v>
      </c>
      <c r="Y7" s="400"/>
      <c r="Z7" s="400" t="s">
        <v>164</v>
      </c>
    </row>
    <row r="8" spans="1:26" s="69" customFormat="1" ht="102" x14ac:dyDescent="0.25">
      <c r="A8" s="400"/>
      <c r="B8" s="432"/>
      <c r="C8" s="432"/>
      <c r="D8" s="432"/>
      <c r="E8" s="432"/>
      <c r="F8" s="432"/>
      <c r="G8" s="432"/>
      <c r="H8" s="432"/>
      <c r="I8" s="432"/>
      <c r="J8" s="432"/>
      <c r="K8" s="400"/>
      <c r="L8" s="400"/>
      <c r="M8" s="400"/>
      <c r="N8" s="61" t="s">
        <v>390</v>
      </c>
      <c r="O8" s="61" t="s">
        <v>391</v>
      </c>
      <c r="P8" s="400"/>
      <c r="Q8" s="400"/>
      <c r="R8" s="400"/>
      <c r="S8" s="61" t="s">
        <v>392</v>
      </c>
      <c r="T8" s="61" t="s">
        <v>393</v>
      </c>
      <c r="U8" s="61" t="s">
        <v>399</v>
      </c>
      <c r="V8" s="400"/>
      <c r="W8" s="400"/>
      <c r="X8" s="61" t="s">
        <v>15</v>
      </c>
      <c r="Y8" s="61" t="s">
        <v>400</v>
      </c>
      <c r="Z8" s="400"/>
    </row>
    <row r="9" spans="1:26" s="69" customFormat="1" x14ac:dyDescent="0.25">
      <c r="A9" s="61">
        <v>1</v>
      </c>
      <c r="B9" s="61">
        <v>2</v>
      </c>
      <c r="C9" s="61">
        <v>3</v>
      </c>
      <c r="D9" s="61">
        <v>4</v>
      </c>
      <c r="E9" s="61">
        <v>5</v>
      </c>
      <c r="F9" s="61">
        <v>6</v>
      </c>
      <c r="G9" s="61">
        <v>7</v>
      </c>
      <c r="H9" s="61">
        <v>8</v>
      </c>
      <c r="I9" s="61">
        <v>9</v>
      </c>
      <c r="J9" s="61">
        <v>10</v>
      </c>
      <c r="K9" s="61">
        <v>11</v>
      </c>
      <c r="L9" s="61">
        <v>12</v>
      </c>
      <c r="M9" s="61">
        <v>13</v>
      </c>
      <c r="N9" s="61">
        <v>14</v>
      </c>
      <c r="O9" s="61">
        <v>15</v>
      </c>
      <c r="P9" s="61">
        <v>16</v>
      </c>
      <c r="Q9" s="61">
        <v>17</v>
      </c>
      <c r="R9" s="61">
        <v>18</v>
      </c>
      <c r="S9" s="61">
        <v>19</v>
      </c>
      <c r="T9" s="61">
        <v>20</v>
      </c>
      <c r="U9" s="61">
        <v>21</v>
      </c>
      <c r="V9" s="61">
        <v>22</v>
      </c>
      <c r="W9" s="61">
        <v>23</v>
      </c>
      <c r="X9" s="61">
        <v>24</v>
      </c>
      <c r="Y9" s="61">
        <v>25</v>
      </c>
      <c r="Z9" s="61">
        <v>26</v>
      </c>
    </row>
    <row r="10" spans="1:26" s="69" customFormat="1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s="69" customFormat="1" x14ac:dyDescent="0.2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s="69" customFormat="1" x14ac:dyDescent="0.2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s="69" customFormat="1" x14ac:dyDescent="0.25">
      <c r="A13" s="400" t="s">
        <v>20</v>
      </c>
      <c r="B13" s="400"/>
      <c r="C13" s="400"/>
      <c r="D13" s="400"/>
      <c r="E13" s="400"/>
      <c r="F13" s="400"/>
      <c r="G13" s="400"/>
      <c r="H13" s="400"/>
      <c r="I13" s="400"/>
      <c r="J13" s="400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2"/>
      <c r="X13" s="62"/>
      <c r="Y13" s="62"/>
      <c r="Z13" s="62"/>
    </row>
    <row r="14" spans="1:26" s="74" customFormat="1" ht="18.75" x14ac:dyDescent="0.25">
      <c r="B14" s="86"/>
      <c r="C14" s="86" t="s">
        <v>957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</row>
    <row r="15" spans="1:26" s="74" customFormat="1" ht="18.75" x14ac:dyDescent="0.25">
      <c r="B15" s="75"/>
      <c r="C15" s="75" t="s">
        <v>958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</row>
    <row r="16" spans="1:26" s="69" customFormat="1" x14ac:dyDescent="0.25">
      <c r="B16" s="87"/>
      <c r="C16" s="87" t="s">
        <v>937</v>
      </c>
      <c r="D16" s="87"/>
      <c r="E16" s="87"/>
      <c r="F16" s="87"/>
      <c r="G16" s="87"/>
      <c r="H16" s="87"/>
    </row>
    <row r="17" spans="1:24" s="69" customFormat="1" ht="29.45" customHeight="1" x14ac:dyDescent="0.25">
      <c r="A17" s="400" t="s">
        <v>395</v>
      </c>
      <c r="B17" s="432" t="s">
        <v>139</v>
      </c>
      <c r="C17" s="432" t="s">
        <v>140</v>
      </c>
      <c r="D17" s="432" t="s">
        <v>396</v>
      </c>
      <c r="E17" s="432" t="s">
        <v>300</v>
      </c>
      <c r="F17" s="432" t="s">
        <v>401</v>
      </c>
      <c r="G17" s="432" t="s">
        <v>142</v>
      </c>
      <c r="H17" s="432"/>
      <c r="I17" s="400" t="s">
        <v>9</v>
      </c>
      <c r="J17" s="400" t="s">
        <v>136</v>
      </c>
      <c r="K17" s="400" t="s">
        <v>143</v>
      </c>
      <c r="L17" s="400"/>
      <c r="M17" s="400"/>
      <c r="N17" s="400"/>
      <c r="O17" s="400" t="s">
        <v>398</v>
      </c>
      <c r="P17" s="400" t="s">
        <v>158</v>
      </c>
      <c r="Q17" s="400"/>
      <c r="R17" s="400"/>
      <c r="S17" s="400"/>
      <c r="T17" s="400"/>
      <c r="U17" s="400" t="s">
        <v>159</v>
      </c>
      <c r="V17" s="400"/>
      <c r="W17" s="400"/>
      <c r="X17" s="400"/>
    </row>
    <row r="18" spans="1:24" s="69" customFormat="1" ht="17.45" customHeight="1" x14ac:dyDescent="0.25">
      <c r="A18" s="400"/>
      <c r="B18" s="432"/>
      <c r="C18" s="432"/>
      <c r="D18" s="432"/>
      <c r="E18" s="432"/>
      <c r="F18" s="432"/>
      <c r="G18" s="432"/>
      <c r="H18" s="432"/>
      <c r="I18" s="400"/>
      <c r="J18" s="400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 t="s">
        <v>160</v>
      </c>
      <c r="V18" s="400"/>
      <c r="W18" s="400"/>
      <c r="X18" s="400"/>
    </row>
    <row r="19" spans="1:24" s="69" customFormat="1" ht="15.75" customHeight="1" x14ac:dyDescent="0.25">
      <c r="A19" s="400"/>
      <c r="B19" s="432"/>
      <c r="C19" s="432"/>
      <c r="D19" s="432"/>
      <c r="E19" s="432"/>
      <c r="F19" s="432"/>
      <c r="G19" s="432" t="s">
        <v>337</v>
      </c>
      <c r="H19" s="432" t="s">
        <v>19</v>
      </c>
      <c r="I19" s="400"/>
      <c r="J19" s="400"/>
      <c r="K19" s="400" t="s">
        <v>15</v>
      </c>
      <c r="L19" s="400" t="s">
        <v>54</v>
      </c>
      <c r="M19" s="400"/>
      <c r="N19" s="400"/>
      <c r="O19" s="400"/>
      <c r="P19" s="400" t="s">
        <v>15</v>
      </c>
      <c r="Q19" s="400" t="s">
        <v>54</v>
      </c>
      <c r="R19" s="400"/>
      <c r="S19" s="400"/>
      <c r="T19" s="400"/>
      <c r="U19" s="400" t="s">
        <v>15</v>
      </c>
      <c r="V19" s="400" t="s">
        <v>54</v>
      </c>
      <c r="W19" s="400"/>
      <c r="X19" s="400"/>
    </row>
    <row r="20" spans="1:24" s="69" customFormat="1" ht="52.9" customHeight="1" x14ac:dyDescent="0.25">
      <c r="A20" s="400"/>
      <c r="B20" s="432"/>
      <c r="C20" s="432"/>
      <c r="D20" s="432"/>
      <c r="E20" s="432"/>
      <c r="F20" s="432"/>
      <c r="G20" s="432"/>
      <c r="H20" s="432"/>
      <c r="I20" s="400"/>
      <c r="J20" s="400"/>
      <c r="K20" s="400"/>
      <c r="L20" s="400" t="s">
        <v>145</v>
      </c>
      <c r="M20" s="400"/>
      <c r="N20" s="400" t="s">
        <v>146</v>
      </c>
      <c r="O20" s="400"/>
      <c r="P20" s="400"/>
      <c r="Q20" s="400" t="s">
        <v>161</v>
      </c>
      <c r="R20" s="400"/>
      <c r="S20" s="400"/>
      <c r="T20" s="400" t="s">
        <v>162</v>
      </c>
      <c r="U20" s="400"/>
      <c r="V20" s="400" t="s">
        <v>163</v>
      </c>
      <c r="W20" s="400"/>
      <c r="X20" s="400" t="s">
        <v>164</v>
      </c>
    </row>
    <row r="21" spans="1:24" s="69" customFormat="1" ht="102" x14ac:dyDescent="0.25">
      <c r="A21" s="400"/>
      <c r="B21" s="432"/>
      <c r="C21" s="432"/>
      <c r="D21" s="432"/>
      <c r="E21" s="432"/>
      <c r="F21" s="432"/>
      <c r="G21" s="432"/>
      <c r="H21" s="432"/>
      <c r="I21" s="400"/>
      <c r="J21" s="400"/>
      <c r="K21" s="400"/>
      <c r="L21" s="61" t="s">
        <v>390</v>
      </c>
      <c r="M21" s="61" t="s">
        <v>391</v>
      </c>
      <c r="N21" s="400"/>
      <c r="O21" s="400"/>
      <c r="P21" s="400"/>
      <c r="Q21" s="61" t="s">
        <v>392</v>
      </c>
      <c r="R21" s="61" t="s">
        <v>393</v>
      </c>
      <c r="S21" s="61" t="s">
        <v>399</v>
      </c>
      <c r="T21" s="400"/>
      <c r="U21" s="400"/>
      <c r="V21" s="61" t="s">
        <v>15</v>
      </c>
      <c r="W21" s="61" t="s">
        <v>402</v>
      </c>
      <c r="X21" s="400"/>
    </row>
    <row r="22" spans="1:24" s="69" customFormat="1" x14ac:dyDescent="0.25">
      <c r="A22" s="61">
        <v>1</v>
      </c>
      <c r="B22" s="61">
        <v>2</v>
      </c>
      <c r="C22" s="61">
        <v>3</v>
      </c>
      <c r="D22" s="61">
        <v>4</v>
      </c>
      <c r="E22" s="61">
        <v>5</v>
      </c>
      <c r="F22" s="61">
        <v>6</v>
      </c>
      <c r="G22" s="61">
        <v>7</v>
      </c>
      <c r="H22" s="61">
        <v>8</v>
      </c>
      <c r="I22" s="61">
        <v>9</v>
      </c>
      <c r="J22" s="61">
        <v>10</v>
      </c>
      <c r="K22" s="61">
        <v>11</v>
      </c>
      <c r="L22" s="61">
        <v>10</v>
      </c>
      <c r="M22" s="61">
        <v>12</v>
      </c>
      <c r="N22" s="61">
        <v>13</v>
      </c>
      <c r="O22" s="61">
        <v>14</v>
      </c>
      <c r="P22" s="61">
        <v>15</v>
      </c>
      <c r="Q22" s="61">
        <v>16</v>
      </c>
      <c r="R22" s="61">
        <v>17</v>
      </c>
      <c r="S22" s="61">
        <v>18</v>
      </c>
      <c r="T22" s="61">
        <v>19</v>
      </c>
      <c r="U22" s="61">
        <v>20</v>
      </c>
      <c r="V22" s="61">
        <v>21</v>
      </c>
      <c r="W22" s="61">
        <v>22</v>
      </c>
      <c r="X22" s="61">
        <v>23</v>
      </c>
    </row>
    <row r="23" spans="1:24" s="69" customFormat="1" ht="33" customHeight="1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</row>
    <row r="24" spans="1:24" s="69" customFormat="1" ht="16.149999999999999" customHeight="1" x14ac:dyDescent="0.2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</row>
    <row r="25" spans="1:24" s="69" customFormat="1" ht="14.45" customHeight="1" x14ac:dyDescent="0.2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</row>
    <row r="26" spans="1:24" s="69" customFormat="1" x14ac:dyDescent="0.25">
      <c r="A26" s="400" t="s">
        <v>20</v>
      </c>
      <c r="B26" s="400"/>
      <c r="C26" s="400"/>
      <c r="D26" s="400"/>
      <c r="E26" s="400"/>
      <c r="F26" s="400"/>
      <c r="G26" s="400"/>
      <c r="H26" s="400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2"/>
      <c r="X26" s="62"/>
    </row>
    <row r="27" spans="1:24" s="69" customFormat="1" ht="16.5" customHeight="1" x14ac:dyDescent="0.25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47"/>
      <c r="X27" s="47"/>
    </row>
  </sheetData>
  <mergeCells count="60">
    <mergeCell ref="F4:F8"/>
    <mergeCell ref="G4:G8"/>
    <mergeCell ref="H4:H8"/>
    <mergeCell ref="A4:A8"/>
    <mergeCell ref="B4:B8"/>
    <mergeCell ref="C4:C8"/>
    <mergeCell ref="D4:D8"/>
    <mergeCell ref="E4:E8"/>
    <mergeCell ref="L4:L8"/>
    <mergeCell ref="M4:P5"/>
    <mergeCell ref="Q4:Q8"/>
    <mergeCell ref="R4:V5"/>
    <mergeCell ref="N7:O7"/>
    <mergeCell ref="P7:P8"/>
    <mergeCell ref="S7:U7"/>
    <mergeCell ref="V7:V8"/>
    <mergeCell ref="F17:F21"/>
    <mergeCell ref="X7:Y7"/>
    <mergeCell ref="Z7:Z8"/>
    <mergeCell ref="A13:J13"/>
    <mergeCell ref="W4:Z4"/>
    <mergeCell ref="W5:Z5"/>
    <mergeCell ref="I6:I8"/>
    <mergeCell ref="J6:J8"/>
    <mergeCell ref="M6:M8"/>
    <mergeCell ref="N6:P6"/>
    <mergeCell ref="R6:R8"/>
    <mergeCell ref="S6:V6"/>
    <mergeCell ref="W6:W8"/>
    <mergeCell ref="X6:Z6"/>
    <mergeCell ref="I4:J5"/>
    <mergeCell ref="K4:K8"/>
    <mergeCell ref="A17:A21"/>
    <mergeCell ref="B17:B21"/>
    <mergeCell ref="C17:C21"/>
    <mergeCell ref="D17:D21"/>
    <mergeCell ref="E17:E21"/>
    <mergeCell ref="K17:N18"/>
    <mergeCell ref="O17:O21"/>
    <mergeCell ref="P17:T18"/>
    <mergeCell ref="L20:M20"/>
    <mergeCell ref="N20:N21"/>
    <mergeCell ref="Q20:S20"/>
    <mergeCell ref="T20:T21"/>
    <mergeCell ref="V20:W20"/>
    <mergeCell ref="X20:X21"/>
    <mergeCell ref="A26:H26"/>
    <mergeCell ref="U17:X17"/>
    <mergeCell ref="U18:X18"/>
    <mergeCell ref="G19:G21"/>
    <mergeCell ref="H19:H21"/>
    <mergeCell ref="K19:K21"/>
    <mergeCell ref="L19:N19"/>
    <mergeCell ref="P19:P21"/>
    <mergeCell ref="Q19:T19"/>
    <mergeCell ref="U19:U21"/>
    <mergeCell ref="V19:X19"/>
    <mergeCell ref="G17:H18"/>
    <mergeCell ref="I17:I21"/>
    <mergeCell ref="J17:J21"/>
  </mergeCells>
  <pageMargins left="0.39370078740157483" right="0.39370078740157483" top="0.78740157480314965" bottom="0.39370078740157483" header="0.31496062992125984" footer="0.31496062992125984"/>
  <pageSetup paperSize="9" scale="76" firstPageNumber="12" fitToWidth="2" orientation="landscape" useFirstPageNumber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T76"/>
  <sheetViews>
    <sheetView view="pageBreakPreview" zoomScale="80" zoomScaleNormal="100" zoomScaleSheetLayoutView="80" workbookViewId="0">
      <selection activeCell="H11" sqref="H11"/>
    </sheetView>
  </sheetViews>
  <sheetFormatPr defaultColWidth="9.140625" defaultRowHeight="15" x14ac:dyDescent="0.25"/>
  <cols>
    <col min="1" max="1" width="9.28515625" style="53" bestFit="1" customWidth="1"/>
    <col min="2" max="2" width="6" style="53" customWidth="1"/>
    <col min="3" max="3" width="11.7109375" style="53" customWidth="1"/>
    <col min="4" max="4" width="7.7109375" style="53" customWidth="1"/>
    <col min="5" max="5" width="17.42578125" style="53" customWidth="1"/>
    <col min="6" max="6" width="9.28515625" style="53" bestFit="1" customWidth="1"/>
    <col min="7" max="7" width="11.85546875" style="53" bestFit="1" customWidth="1"/>
    <col min="8" max="8" width="10.140625" style="53" bestFit="1" customWidth="1"/>
    <col min="9" max="9" width="12" style="53" customWidth="1"/>
    <col min="10" max="10" width="10.28515625" style="53" bestFit="1" customWidth="1"/>
    <col min="11" max="11" width="9.5703125" style="53" bestFit="1" customWidth="1"/>
    <col min="12" max="13" width="10.140625" style="53" bestFit="1" customWidth="1"/>
    <col min="14" max="14" width="12.85546875" style="53" bestFit="1" customWidth="1"/>
    <col min="15" max="15" width="10.5703125" style="53" bestFit="1" customWidth="1"/>
    <col min="16" max="16" width="9.28515625" style="53" bestFit="1" customWidth="1"/>
    <col min="17" max="17" width="11.85546875" style="53" bestFit="1" customWidth="1"/>
    <col min="18" max="18" width="9.28515625" style="53" bestFit="1" customWidth="1"/>
    <col min="19" max="19" width="9.140625" style="53" customWidth="1"/>
    <col min="20" max="21" width="9.28515625" style="53" bestFit="1" customWidth="1"/>
    <col min="22" max="22" width="12.5703125" style="53" bestFit="1" customWidth="1"/>
    <col min="23" max="23" width="9.28515625" style="53" bestFit="1" customWidth="1"/>
    <col min="24" max="24" width="11.5703125" style="53" bestFit="1" customWidth="1"/>
    <col min="25" max="28" width="9.28515625" style="53" bestFit="1" customWidth="1"/>
    <col min="29" max="16384" width="9.140625" style="53"/>
  </cols>
  <sheetData>
    <row r="1" spans="1:18" s="80" customFormat="1" ht="15" customHeight="1" x14ac:dyDescent="0.25">
      <c r="A1" s="492" t="s">
        <v>961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</row>
    <row r="2" spans="1:18" s="74" customFormat="1" ht="18.75" x14ac:dyDescent="0.25">
      <c r="A2" s="495"/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</row>
    <row r="3" spans="1:18" s="74" customFormat="1" ht="15.6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8" s="74" customFormat="1" ht="15.6" customHeight="1" x14ac:dyDescent="0.25">
      <c r="A4" s="495" t="s">
        <v>292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</row>
    <row r="5" spans="1:18" s="74" customFormat="1" ht="10.5" customHeight="1" x14ac:dyDescent="0.25"/>
    <row r="6" spans="1:18" s="69" customFormat="1" ht="23.25" customHeight="1" x14ac:dyDescent="0.25">
      <c r="A6" s="432" t="s">
        <v>138</v>
      </c>
      <c r="B6" s="432"/>
      <c r="C6" s="432" t="s">
        <v>139</v>
      </c>
      <c r="D6" s="432" t="s">
        <v>142</v>
      </c>
      <c r="E6" s="432"/>
      <c r="F6" s="432" t="s">
        <v>9</v>
      </c>
      <c r="G6" s="432" t="s">
        <v>403</v>
      </c>
      <c r="H6" s="432" t="s">
        <v>165</v>
      </c>
      <c r="I6" s="432"/>
      <c r="J6" s="432"/>
      <c r="K6" s="432" t="s">
        <v>166</v>
      </c>
      <c r="L6" s="432"/>
      <c r="M6" s="432" t="s">
        <v>167</v>
      </c>
      <c r="N6" s="432"/>
      <c r="O6" s="432" t="s">
        <v>405</v>
      </c>
      <c r="P6" s="432" t="s">
        <v>168</v>
      </c>
      <c r="Q6" s="432"/>
      <c r="R6" s="400" t="s">
        <v>408</v>
      </c>
    </row>
    <row r="7" spans="1:18" s="69" customFormat="1" ht="133.15" customHeight="1" x14ac:dyDescent="0.25">
      <c r="A7" s="432"/>
      <c r="B7" s="432"/>
      <c r="C7" s="432"/>
      <c r="D7" s="63" t="s">
        <v>337</v>
      </c>
      <c r="E7" s="63" t="s">
        <v>19</v>
      </c>
      <c r="F7" s="432"/>
      <c r="G7" s="432"/>
      <c r="H7" s="63" t="s">
        <v>337</v>
      </c>
      <c r="I7" s="63" t="s">
        <v>3</v>
      </c>
      <c r="J7" s="63" t="s">
        <v>169</v>
      </c>
      <c r="K7" s="63" t="s">
        <v>170</v>
      </c>
      <c r="L7" s="63" t="s">
        <v>404</v>
      </c>
      <c r="M7" s="63" t="s">
        <v>171</v>
      </c>
      <c r="N7" s="63" t="s">
        <v>172</v>
      </c>
      <c r="O7" s="432"/>
      <c r="P7" s="63" t="s">
        <v>406</v>
      </c>
      <c r="Q7" s="63" t="s">
        <v>407</v>
      </c>
      <c r="R7" s="400"/>
    </row>
    <row r="8" spans="1:18" s="69" customFormat="1" x14ac:dyDescent="0.25">
      <c r="A8" s="432">
        <v>1</v>
      </c>
      <c r="B8" s="432"/>
      <c r="C8" s="63">
        <v>2</v>
      </c>
      <c r="D8" s="63">
        <v>3</v>
      </c>
      <c r="E8" s="63">
        <v>4</v>
      </c>
      <c r="F8" s="63">
        <v>5</v>
      </c>
      <c r="G8" s="63">
        <v>6</v>
      </c>
      <c r="H8" s="63">
        <v>7</v>
      </c>
      <c r="I8" s="63">
        <v>8</v>
      </c>
      <c r="J8" s="63">
        <v>9</v>
      </c>
      <c r="K8" s="63">
        <v>10</v>
      </c>
      <c r="L8" s="63">
        <v>11</v>
      </c>
      <c r="M8" s="63">
        <v>12</v>
      </c>
      <c r="N8" s="63">
        <v>13</v>
      </c>
      <c r="O8" s="63">
        <v>14</v>
      </c>
      <c r="P8" s="63">
        <v>15</v>
      </c>
      <c r="Q8" s="63">
        <v>16</v>
      </c>
      <c r="R8" s="61">
        <v>17</v>
      </c>
    </row>
    <row r="9" spans="1:18" s="69" customFormat="1" ht="40.5" customHeight="1" x14ac:dyDescent="0.25">
      <c r="A9" s="432" t="s">
        <v>326</v>
      </c>
      <c r="B9" s="432"/>
      <c r="C9" s="157" t="s">
        <v>21</v>
      </c>
      <c r="D9" s="157" t="s">
        <v>1400</v>
      </c>
      <c r="E9" s="40" t="s">
        <v>935</v>
      </c>
      <c r="F9" s="157">
        <v>1000</v>
      </c>
      <c r="G9" s="157"/>
      <c r="H9" s="157"/>
      <c r="I9" s="157"/>
      <c r="J9" s="157"/>
      <c r="K9" s="157"/>
      <c r="L9" s="157"/>
      <c r="M9" s="157"/>
      <c r="N9" s="168">
        <f>N11</f>
        <v>0</v>
      </c>
      <c r="O9" s="168">
        <f>O11</f>
        <v>0</v>
      </c>
      <c r="P9" s="157"/>
      <c r="Q9" s="157"/>
      <c r="R9" s="155"/>
    </row>
    <row r="10" spans="1:18" s="69" customFormat="1" x14ac:dyDescent="0.25">
      <c r="A10" s="432" t="s">
        <v>54</v>
      </c>
      <c r="B10" s="432"/>
      <c r="C10" s="63"/>
      <c r="D10" s="63"/>
      <c r="E10" s="63"/>
      <c r="F10" s="63">
        <v>1001</v>
      </c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1"/>
    </row>
    <row r="11" spans="1:18" s="69" customFormat="1" ht="14.25" customHeight="1" x14ac:dyDescent="0.25">
      <c r="A11" s="400"/>
      <c r="B11" s="400"/>
      <c r="C11" s="183"/>
      <c r="D11" s="157"/>
      <c r="E11" s="40"/>
      <c r="F11" s="157"/>
      <c r="G11" s="157"/>
      <c r="H11" s="157"/>
      <c r="I11" s="157"/>
      <c r="J11" s="157"/>
      <c r="K11" s="55"/>
      <c r="L11" s="55"/>
      <c r="M11" s="168"/>
      <c r="N11" s="168"/>
      <c r="O11" s="168"/>
      <c r="P11" s="157"/>
      <c r="Q11" s="157"/>
      <c r="R11" s="155"/>
    </row>
    <row r="12" spans="1:18" s="69" customFormat="1" ht="41.25" customHeight="1" x14ac:dyDescent="0.25">
      <c r="A12" s="432" t="s">
        <v>327</v>
      </c>
      <c r="B12" s="432"/>
      <c r="C12" s="63" t="s">
        <v>21</v>
      </c>
      <c r="D12" s="63" t="s">
        <v>1406</v>
      </c>
      <c r="E12" s="40" t="s">
        <v>1407</v>
      </c>
      <c r="F12" s="63">
        <v>2000</v>
      </c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1"/>
    </row>
    <row r="13" spans="1:18" s="69" customFormat="1" x14ac:dyDescent="0.25">
      <c r="A13" s="400" t="s">
        <v>54</v>
      </c>
      <c r="B13" s="400"/>
      <c r="C13" s="61"/>
      <c r="D13" s="61"/>
      <c r="E13" s="61"/>
      <c r="F13" s="61">
        <v>2001</v>
      </c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18" s="69" customFormat="1" x14ac:dyDescent="0.25">
      <c r="A14" s="431"/>
      <c r="B14" s="43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</row>
    <row r="15" spans="1:18" s="69" customFormat="1" ht="56.25" customHeight="1" x14ac:dyDescent="0.25">
      <c r="A15" s="400" t="s">
        <v>147</v>
      </c>
      <c r="B15" s="400"/>
      <c r="C15" s="61" t="s">
        <v>21</v>
      </c>
      <c r="D15" s="61" t="s">
        <v>1401</v>
      </c>
      <c r="E15" s="61">
        <v>113</v>
      </c>
      <c r="F15" s="61">
        <v>3000</v>
      </c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</row>
    <row r="16" spans="1:18" s="69" customFormat="1" x14ac:dyDescent="0.25">
      <c r="A16" s="400" t="s">
        <v>54</v>
      </c>
      <c r="B16" s="400"/>
      <c r="C16" s="61"/>
      <c r="D16" s="61"/>
      <c r="E16" s="61"/>
      <c r="F16" s="61">
        <v>3001</v>
      </c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</row>
    <row r="17" spans="1:20" s="69" customFormat="1" x14ac:dyDescent="0.25">
      <c r="A17" s="431"/>
      <c r="B17" s="43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</row>
    <row r="18" spans="1:20" s="69" customFormat="1" ht="40.5" customHeight="1" x14ac:dyDescent="0.25">
      <c r="A18" s="400" t="s">
        <v>148</v>
      </c>
      <c r="B18" s="400"/>
      <c r="C18" s="61" t="s">
        <v>21</v>
      </c>
      <c r="D18" s="61" t="s">
        <v>1406</v>
      </c>
      <c r="E18" s="257" t="s">
        <v>1407</v>
      </c>
      <c r="F18" s="61">
        <v>4000</v>
      </c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</row>
    <row r="19" spans="1:20" s="69" customFormat="1" ht="16.899999999999999" customHeight="1" x14ac:dyDescent="0.25">
      <c r="A19" s="400" t="s">
        <v>54</v>
      </c>
      <c r="B19" s="400"/>
      <c r="C19" s="61"/>
      <c r="D19" s="61"/>
      <c r="E19" s="61"/>
      <c r="F19" s="61">
        <v>4001</v>
      </c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</row>
    <row r="20" spans="1:20" s="69" customFormat="1" ht="16.899999999999999" customHeight="1" x14ac:dyDescent="0.25">
      <c r="A20" s="431"/>
      <c r="B20" s="43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</row>
    <row r="21" spans="1:20" s="69" customFormat="1" ht="39" customHeight="1" x14ac:dyDescent="0.25">
      <c r="A21" s="400" t="s">
        <v>149</v>
      </c>
      <c r="B21" s="400"/>
      <c r="C21" s="61" t="s">
        <v>21</v>
      </c>
      <c r="D21" s="61" t="s">
        <v>1408</v>
      </c>
      <c r="E21" s="61">
        <v>796</v>
      </c>
      <c r="F21" s="61">
        <v>5000</v>
      </c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</row>
    <row r="22" spans="1:20" s="69" customFormat="1" ht="18" customHeight="1" x14ac:dyDescent="0.25">
      <c r="A22" s="400" t="s">
        <v>54</v>
      </c>
      <c r="B22" s="400"/>
      <c r="C22" s="61"/>
      <c r="D22" s="61"/>
      <c r="E22" s="61"/>
      <c r="F22" s="61">
        <v>5001</v>
      </c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</row>
    <row r="23" spans="1:20" s="69" customFormat="1" ht="15.6" customHeight="1" x14ac:dyDescent="0.25">
      <c r="A23" s="431"/>
      <c r="B23" s="43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</row>
    <row r="24" spans="1:20" s="69" customFormat="1" x14ac:dyDescent="0.25">
      <c r="A24" s="400" t="s">
        <v>20</v>
      </c>
      <c r="B24" s="400"/>
      <c r="C24" s="61"/>
      <c r="D24" s="61"/>
      <c r="E24" s="61"/>
      <c r="F24" s="61">
        <v>9000</v>
      </c>
      <c r="G24" s="61"/>
      <c r="H24" s="61"/>
      <c r="I24" s="61"/>
      <c r="J24" s="61"/>
      <c r="K24" s="61"/>
      <c r="L24" s="61"/>
      <c r="M24" s="61"/>
      <c r="N24" s="67">
        <f>N9</f>
        <v>0</v>
      </c>
      <c r="O24" s="67">
        <f>O9</f>
        <v>0</v>
      </c>
      <c r="P24" s="61"/>
      <c r="Q24" s="61"/>
      <c r="R24" s="61"/>
    </row>
    <row r="25" spans="1:20" s="74" customFormat="1" ht="15.6" customHeight="1" x14ac:dyDescent="0.25">
      <c r="A25" s="499" t="s">
        <v>938</v>
      </c>
      <c r="B25" s="499"/>
      <c r="C25" s="499"/>
      <c r="D25" s="499"/>
      <c r="E25" s="499"/>
      <c r="F25" s="499"/>
      <c r="G25" s="499"/>
      <c r="H25" s="499"/>
      <c r="I25" s="499"/>
      <c r="J25" s="499"/>
      <c r="K25" s="499"/>
      <c r="L25" s="499"/>
      <c r="M25" s="499"/>
      <c r="N25" s="499"/>
      <c r="O25" s="88"/>
      <c r="P25" s="88"/>
      <c r="Q25" s="88"/>
      <c r="R25" s="88"/>
    </row>
    <row r="26" spans="1:20" s="69" customFormat="1" x14ac:dyDescent="0.25">
      <c r="A26" s="498" t="s">
        <v>939</v>
      </c>
      <c r="B26" s="498"/>
      <c r="C26" s="498"/>
      <c r="D26" s="498"/>
      <c r="E26" s="498"/>
      <c r="F26" s="498"/>
      <c r="G26" s="498"/>
      <c r="H26" s="498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</row>
    <row r="27" spans="1:20" s="69" customFormat="1" ht="68.45" customHeight="1" x14ac:dyDescent="0.25">
      <c r="A27" s="432" t="s">
        <v>138</v>
      </c>
      <c r="B27" s="432"/>
      <c r="C27" s="432" t="s">
        <v>139</v>
      </c>
      <c r="D27" s="432" t="s">
        <v>142</v>
      </c>
      <c r="E27" s="432"/>
      <c r="F27" s="432" t="s">
        <v>9</v>
      </c>
      <c r="G27" s="432" t="s">
        <v>409</v>
      </c>
      <c r="H27" s="432" t="s">
        <v>165</v>
      </c>
      <c r="I27" s="432"/>
      <c r="J27" s="432"/>
      <c r="K27" s="432" t="s">
        <v>410</v>
      </c>
      <c r="L27" s="432" t="s">
        <v>167</v>
      </c>
      <c r="M27" s="432"/>
      <c r="N27" s="432"/>
      <c r="O27" s="432" t="s">
        <v>411</v>
      </c>
      <c r="P27" s="432" t="s">
        <v>173</v>
      </c>
      <c r="Q27" s="432"/>
      <c r="R27" s="400" t="s">
        <v>414</v>
      </c>
    </row>
    <row r="28" spans="1:20" s="69" customFormat="1" ht="130.15" customHeight="1" x14ac:dyDescent="0.25">
      <c r="A28" s="432"/>
      <c r="B28" s="432"/>
      <c r="C28" s="432"/>
      <c r="D28" s="63" t="s">
        <v>337</v>
      </c>
      <c r="E28" s="63" t="s">
        <v>19</v>
      </c>
      <c r="F28" s="432"/>
      <c r="G28" s="432"/>
      <c r="H28" s="63" t="s">
        <v>337</v>
      </c>
      <c r="I28" s="63" t="s">
        <v>3</v>
      </c>
      <c r="J28" s="63" t="s">
        <v>169</v>
      </c>
      <c r="K28" s="432"/>
      <c r="L28" s="63" t="s">
        <v>174</v>
      </c>
      <c r="M28" s="63" t="s">
        <v>175</v>
      </c>
      <c r="N28" s="63" t="s">
        <v>176</v>
      </c>
      <c r="O28" s="432"/>
      <c r="P28" s="63" t="s">
        <v>412</v>
      </c>
      <c r="Q28" s="63" t="s">
        <v>413</v>
      </c>
      <c r="R28" s="400"/>
    </row>
    <row r="29" spans="1:20" s="69" customFormat="1" x14ac:dyDescent="0.25">
      <c r="A29" s="432">
        <v>1</v>
      </c>
      <c r="B29" s="432"/>
      <c r="C29" s="63">
        <v>2</v>
      </c>
      <c r="D29" s="64">
        <v>3</v>
      </c>
      <c r="E29" s="63">
        <v>4</v>
      </c>
      <c r="F29" s="63">
        <v>5</v>
      </c>
      <c r="G29" s="63">
        <v>6</v>
      </c>
      <c r="H29" s="63">
        <v>7</v>
      </c>
      <c r="I29" s="63">
        <v>8</v>
      </c>
      <c r="J29" s="63">
        <v>9</v>
      </c>
      <c r="K29" s="63">
        <v>10</v>
      </c>
      <c r="L29" s="63">
        <v>11</v>
      </c>
      <c r="M29" s="63">
        <v>12</v>
      </c>
      <c r="N29" s="63">
        <v>13</v>
      </c>
      <c r="O29" s="63">
        <v>14</v>
      </c>
      <c r="P29" s="63">
        <v>15</v>
      </c>
      <c r="Q29" s="63">
        <v>16</v>
      </c>
      <c r="R29" s="61">
        <v>17</v>
      </c>
    </row>
    <row r="30" spans="1:20" s="69" customFormat="1" ht="42.75" customHeight="1" x14ac:dyDescent="0.25">
      <c r="A30" s="432" t="s">
        <v>326</v>
      </c>
      <c r="B30" s="432"/>
      <c r="C30" s="63" t="s">
        <v>21</v>
      </c>
      <c r="D30" s="63" t="s">
        <v>21</v>
      </c>
      <c r="E30" s="63" t="s">
        <v>21</v>
      </c>
      <c r="F30" s="63">
        <v>1000</v>
      </c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1"/>
    </row>
    <row r="31" spans="1:20" s="69" customFormat="1" x14ac:dyDescent="0.25">
      <c r="A31" s="432" t="s">
        <v>54</v>
      </c>
      <c r="B31" s="432"/>
      <c r="C31" s="63"/>
      <c r="D31" s="63"/>
      <c r="E31" s="63"/>
      <c r="F31" s="63">
        <v>1001</v>
      </c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1"/>
    </row>
    <row r="32" spans="1:20" s="69" customFormat="1" x14ac:dyDescent="0.25">
      <c r="A32" s="493"/>
      <c r="B32" s="49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1"/>
    </row>
    <row r="33" spans="1:18" s="69" customFormat="1" ht="41.25" customHeight="1" x14ac:dyDescent="0.25">
      <c r="A33" s="400" t="s">
        <v>327</v>
      </c>
      <c r="B33" s="400"/>
      <c r="C33" s="63" t="s">
        <v>21</v>
      </c>
      <c r="D33" s="63" t="s">
        <v>21</v>
      </c>
      <c r="E33" s="63" t="s">
        <v>21</v>
      </c>
      <c r="F33" s="63">
        <v>2000</v>
      </c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1"/>
    </row>
    <row r="34" spans="1:18" s="69" customFormat="1" x14ac:dyDescent="0.25">
      <c r="A34" s="400" t="s">
        <v>54</v>
      </c>
      <c r="B34" s="400"/>
      <c r="C34" s="61"/>
      <c r="D34" s="61"/>
      <c r="E34" s="61"/>
      <c r="F34" s="61">
        <v>2001</v>
      </c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</row>
    <row r="35" spans="1:18" s="69" customFormat="1" x14ac:dyDescent="0.25">
      <c r="A35" s="431"/>
      <c r="B35" s="43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</row>
    <row r="36" spans="1:18" s="69" customFormat="1" ht="54" customHeight="1" x14ac:dyDescent="0.25">
      <c r="A36" s="400" t="s">
        <v>147</v>
      </c>
      <c r="B36" s="400"/>
      <c r="C36" s="61" t="s">
        <v>21</v>
      </c>
      <c r="D36" s="61" t="s">
        <v>21</v>
      </c>
      <c r="E36" s="61" t="s">
        <v>21</v>
      </c>
      <c r="F36" s="61">
        <v>3000</v>
      </c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</row>
    <row r="37" spans="1:18" s="69" customFormat="1" x14ac:dyDescent="0.25">
      <c r="A37" s="400" t="s">
        <v>54</v>
      </c>
      <c r="B37" s="400"/>
      <c r="C37" s="61"/>
      <c r="D37" s="61"/>
      <c r="E37" s="61"/>
      <c r="F37" s="61">
        <v>3001</v>
      </c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</row>
    <row r="38" spans="1:18" s="69" customFormat="1" x14ac:dyDescent="0.25">
      <c r="A38" s="431"/>
      <c r="B38" s="43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</row>
    <row r="39" spans="1:18" s="69" customFormat="1" ht="39.75" customHeight="1" x14ac:dyDescent="0.25">
      <c r="A39" s="400" t="s">
        <v>148</v>
      </c>
      <c r="B39" s="400"/>
      <c r="C39" s="61" t="s">
        <v>21</v>
      </c>
      <c r="D39" s="61" t="s">
        <v>21</v>
      </c>
      <c r="E39" s="61" t="s">
        <v>21</v>
      </c>
      <c r="F39" s="61">
        <v>4000</v>
      </c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</row>
    <row r="40" spans="1:18" s="69" customFormat="1" x14ac:dyDescent="0.25">
      <c r="A40" s="400" t="s">
        <v>54</v>
      </c>
      <c r="B40" s="400"/>
      <c r="C40" s="61"/>
      <c r="D40" s="61"/>
      <c r="E40" s="61"/>
      <c r="F40" s="61">
        <v>4001</v>
      </c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</row>
    <row r="41" spans="1:18" s="69" customFormat="1" x14ac:dyDescent="0.25">
      <c r="A41" s="431"/>
      <c r="B41" s="43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</row>
    <row r="42" spans="1:18" s="69" customFormat="1" ht="57.75" customHeight="1" x14ac:dyDescent="0.25">
      <c r="A42" s="400" t="s">
        <v>149</v>
      </c>
      <c r="B42" s="400"/>
      <c r="C42" s="61" t="s">
        <v>21</v>
      </c>
      <c r="D42" s="61" t="s">
        <v>21</v>
      </c>
      <c r="E42" s="61" t="s">
        <v>21</v>
      </c>
      <c r="F42" s="61">
        <v>5000</v>
      </c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</row>
    <row r="43" spans="1:18" s="69" customFormat="1" x14ac:dyDescent="0.25">
      <c r="A43" s="400" t="s">
        <v>54</v>
      </c>
      <c r="B43" s="400"/>
      <c r="C43" s="61"/>
      <c r="D43" s="61"/>
      <c r="E43" s="61"/>
      <c r="F43" s="61">
        <v>5001</v>
      </c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</row>
    <row r="44" spans="1:18" s="69" customFormat="1" x14ac:dyDescent="0.25">
      <c r="A44" s="431"/>
      <c r="B44" s="43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</row>
    <row r="45" spans="1:18" s="69" customFormat="1" ht="16.149999999999999" customHeight="1" x14ac:dyDescent="0.25">
      <c r="A45" s="400" t="s">
        <v>20</v>
      </c>
      <c r="B45" s="400"/>
      <c r="C45" s="400"/>
      <c r="D45" s="400"/>
      <c r="E45" s="400"/>
      <c r="F45" s="61">
        <v>9000</v>
      </c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</row>
    <row r="46" spans="1:18" s="69" customFormat="1" ht="15" customHeight="1" x14ac:dyDescent="0.25"/>
    <row r="47" spans="1:18" s="69" customFormat="1" ht="12" customHeight="1" x14ac:dyDescent="0.25">
      <c r="A47" s="497" t="s">
        <v>37</v>
      </c>
      <c r="B47" s="497"/>
      <c r="C47" s="497"/>
      <c r="D47" s="497"/>
    </row>
    <row r="48" spans="1:18" s="69" customFormat="1" ht="28.5" customHeight="1" x14ac:dyDescent="0.25">
      <c r="A48" s="494" t="s">
        <v>1409</v>
      </c>
      <c r="B48" s="494"/>
      <c r="C48" s="494"/>
      <c r="D48" s="494"/>
      <c r="E48" s="494"/>
      <c r="F48" s="494"/>
      <c r="G48" s="494"/>
      <c r="H48" s="494"/>
      <c r="I48" s="494"/>
      <c r="J48" s="494"/>
      <c r="K48" s="494"/>
      <c r="L48" s="494"/>
      <c r="M48" s="494"/>
      <c r="N48" s="494"/>
    </row>
    <row r="49" spans="1:16" s="69" customFormat="1" ht="45" customHeight="1" x14ac:dyDescent="0.25">
      <c r="A49" s="494" t="s">
        <v>1410</v>
      </c>
      <c r="B49" s="494"/>
      <c r="C49" s="494"/>
      <c r="D49" s="494"/>
      <c r="E49" s="494"/>
      <c r="F49" s="494"/>
      <c r="G49" s="494"/>
      <c r="H49" s="494"/>
      <c r="I49" s="494"/>
      <c r="J49" s="494"/>
      <c r="K49" s="494"/>
      <c r="L49" s="494"/>
      <c r="M49" s="494"/>
      <c r="N49" s="494"/>
    </row>
    <row r="50" spans="1:16" s="69" customFormat="1" x14ac:dyDescent="0.25">
      <c r="D50" s="65"/>
    </row>
    <row r="51" spans="1:16" s="74" customFormat="1" ht="17.45" customHeight="1" x14ac:dyDescent="0.25">
      <c r="A51" s="495" t="s">
        <v>959</v>
      </c>
      <c r="B51" s="495"/>
      <c r="C51" s="495"/>
      <c r="D51" s="495"/>
      <c r="E51" s="495"/>
      <c r="F51" s="495"/>
      <c r="G51" s="495"/>
      <c r="H51" s="495"/>
      <c r="I51" s="495"/>
      <c r="J51" s="495"/>
      <c r="K51" s="495"/>
      <c r="L51" s="495"/>
      <c r="M51" s="495"/>
      <c r="N51" s="495"/>
    </row>
    <row r="52" spans="1:16" s="74" customFormat="1" ht="15" customHeight="1" x14ac:dyDescent="0.25">
      <c r="A52" s="495" t="s">
        <v>960</v>
      </c>
      <c r="B52" s="495"/>
      <c r="C52" s="495"/>
      <c r="D52" s="495"/>
      <c r="E52" s="495"/>
      <c r="F52" s="495"/>
      <c r="G52" s="495"/>
      <c r="H52" s="495"/>
      <c r="I52" s="495"/>
      <c r="J52" s="495"/>
      <c r="K52" s="495"/>
      <c r="L52" s="495"/>
      <c r="M52" s="495"/>
      <c r="N52" s="495"/>
    </row>
    <row r="53" spans="1:16" s="69" customFormat="1" x14ac:dyDescent="0.25">
      <c r="A53" s="496" t="s">
        <v>940</v>
      </c>
      <c r="B53" s="496"/>
      <c r="C53" s="496"/>
      <c r="D53" s="496"/>
      <c r="E53" s="496"/>
      <c r="F53" s="496"/>
      <c r="G53" s="496"/>
      <c r="H53" s="496"/>
      <c r="I53" s="85"/>
      <c r="J53" s="85"/>
      <c r="K53" s="85"/>
      <c r="L53" s="85"/>
      <c r="M53" s="85"/>
      <c r="N53" s="85"/>
    </row>
    <row r="54" spans="1:16" s="69" customFormat="1" ht="66.599999999999994" customHeight="1" x14ac:dyDescent="0.25">
      <c r="A54" s="432" t="s">
        <v>138</v>
      </c>
      <c r="B54" s="432"/>
      <c r="C54" s="432" t="s">
        <v>139</v>
      </c>
      <c r="D54" s="432" t="s">
        <v>142</v>
      </c>
      <c r="E54" s="432"/>
      <c r="F54" s="432" t="s">
        <v>9</v>
      </c>
      <c r="G54" s="432" t="s">
        <v>415</v>
      </c>
      <c r="H54" s="432" t="s">
        <v>177</v>
      </c>
      <c r="I54" s="432"/>
      <c r="J54" s="432"/>
      <c r="K54" s="432" t="s">
        <v>166</v>
      </c>
      <c r="L54" s="432"/>
      <c r="M54" s="432" t="s">
        <v>411</v>
      </c>
      <c r="N54" s="432" t="s">
        <v>173</v>
      </c>
      <c r="O54" s="432"/>
      <c r="P54" s="400" t="s">
        <v>416</v>
      </c>
    </row>
    <row r="55" spans="1:16" s="69" customFormat="1" ht="92.45" customHeight="1" x14ac:dyDescent="0.25">
      <c r="A55" s="432"/>
      <c r="B55" s="432"/>
      <c r="C55" s="432"/>
      <c r="D55" s="63" t="s">
        <v>337</v>
      </c>
      <c r="E55" s="63" t="s">
        <v>19</v>
      </c>
      <c r="F55" s="432"/>
      <c r="G55" s="432"/>
      <c r="H55" s="63" t="s">
        <v>337</v>
      </c>
      <c r="I55" s="63" t="s">
        <v>3</v>
      </c>
      <c r="J55" s="63" t="s">
        <v>169</v>
      </c>
      <c r="K55" s="63" t="s">
        <v>170</v>
      </c>
      <c r="L55" s="63" t="s">
        <v>404</v>
      </c>
      <c r="M55" s="432"/>
      <c r="N55" s="63" t="s">
        <v>406</v>
      </c>
      <c r="O55" s="63" t="s">
        <v>407</v>
      </c>
      <c r="P55" s="400"/>
    </row>
    <row r="56" spans="1:16" s="69" customFormat="1" x14ac:dyDescent="0.25">
      <c r="A56" s="432">
        <v>1</v>
      </c>
      <c r="B56" s="432"/>
      <c r="C56" s="63">
        <v>2</v>
      </c>
      <c r="D56" s="63">
        <v>3</v>
      </c>
      <c r="E56" s="63">
        <v>4</v>
      </c>
      <c r="F56" s="63">
        <v>5</v>
      </c>
      <c r="G56" s="63">
        <v>6</v>
      </c>
      <c r="H56" s="63">
        <v>7</v>
      </c>
      <c r="I56" s="63">
        <v>8</v>
      </c>
      <c r="J56" s="63">
        <v>9</v>
      </c>
      <c r="K56" s="63">
        <v>10</v>
      </c>
      <c r="L56" s="63">
        <v>11</v>
      </c>
      <c r="M56" s="63">
        <v>12</v>
      </c>
      <c r="N56" s="63">
        <v>13</v>
      </c>
      <c r="O56" s="63">
        <v>14</v>
      </c>
      <c r="P56" s="61">
        <v>15</v>
      </c>
    </row>
    <row r="57" spans="1:16" s="69" customFormat="1" ht="42" customHeight="1" x14ac:dyDescent="0.25">
      <c r="A57" s="432" t="s">
        <v>326</v>
      </c>
      <c r="B57" s="432"/>
      <c r="C57" s="63"/>
      <c r="D57" s="63"/>
      <c r="E57" s="63"/>
      <c r="F57" s="63">
        <v>1000</v>
      </c>
      <c r="G57" s="63"/>
      <c r="H57" s="63"/>
      <c r="I57" s="63"/>
      <c r="J57" s="63"/>
      <c r="K57" s="63"/>
      <c r="L57" s="63"/>
      <c r="M57" s="63"/>
      <c r="N57" s="63"/>
      <c r="O57" s="63"/>
      <c r="P57" s="61"/>
    </row>
    <row r="58" spans="1:16" s="69" customFormat="1" x14ac:dyDescent="0.25">
      <c r="A58" s="432" t="s">
        <v>54</v>
      </c>
      <c r="B58" s="432"/>
      <c r="C58" s="63"/>
      <c r="D58" s="63"/>
      <c r="E58" s="63"/>
      <c r="F58" s="63">
        <v>1001</v>
      </c>
      <c r="G58" s="63"/>
      <c r="H58" s="63"/>
      <c r="I58" s="63"/>
      <c r="J58" s="63"/>
      <c r="K58" s="63"/>
      <c r="L58" s="63"/>
      <c r="M58" s="63"/>
      <c r="N58" s="63"/>
      <c r="O58" s="63"/>
      <c r="P58" s="61"/>
    </row>
    <row r="59" spans="1:16" s="69" customFormat="1" x14ac:dyDescent="0.25">
      <c r="A59" s="493"/>
      <c r="B59" s="49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1"/>
    </row>
    <row r="60" spans="1:16" s="69" customFormat="1" ht="40.5" customHeight="1" x14ac:dyDescent="0.25">
      <c r="A60" s="432" t="s">
        <v>327</v>
      </c>
      <c r="B60" s="432"/>
      <c r="C60" s="63"/>
      <c r="D60" s="63"/>
      <c r="E60" s="63"/>
      <c r="F60" s="63">
        <v>2000</v>
      </c>
      <c r="G60" s="63"/>
      <c r="H60" s="63"/>
      <c r="I60" s="63"/>
      <c r="J60" s="63"/>
      <c r="K60" s="63"/>
      <c r="L60" s="63"/>
      <c r="M60" s="63"/>
      <c r="N60" s="63"/>
      <c r="O60" s="63"/>
      <c r="P60" s="61"/>
    </row>
    <row r="61" spans="1:16" s="69" customFormat="1" x14ac:dyDescent="0.25">
      <c r="A61" s="400" t="s">
        <v>54</v>
      </c>
      <c r="B61" s="400"/>
      <c r="C61" s="61"/>
      <c r="D61" s="61"/>
      <c r="E61" s="61"/>
      <c r="F61" s="61">
        <v>2001</v>
      </c>
      <c r="G61" s="61"/>
      <c r="H61" s="61"/>
      <c r="I61" s="61"/>
      <c r="J61" s="61"/>
      <c r="K61" s="61"/>
      <c r="L61" s="61"/>
      <c r="M61" s="61"/>
      <c r="N61" s="61"/>
      <c r="O61" s="61"/>
      <c r="P61" s="61"/>
    </row>
    <row r="62" spans="1:16" s="69" customFormat="1" x14ac:dyDescent="0.25">
      <c r="A62" s="431"/>
      <c r="B62" s="43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</row>
    <row r="63" spans="1:16" s="69" customFormat="1" ht="51.75" customHeight="1" x14ac:dyDescent="0.25">
      <c r="A63" s="400" t="s">
        <v>147</v>
      </c>
      <c r="B63" s="400"/>
      <c r="C63" s="61"/>
      <c r="D63" s="61"/>
      <c r="E63" s="61"/>
      <c r="F63" s="61">
        <v>3000</v>
      </c>
      <c r="G63" s="61"/>
      <c r="H63" s="61"/>
      <c r="I63" s="61"/>
      <c r="J63" s="61"/>
      <c r="K63" s="61"/>
      <c r="L63" s="61"/>
      <c r="M63" s="61"/>
      <c r="N63" s="61"/>
      <c r="O63" s="61"/>
      <c r="P63" s="61"/>
    </row>
    <row r="64" spans="1:16" s="69" customFormat="1" x14ac:dyDescent="0.25">
      <c r="A64" s="400" t="s">
        <v>54</v>
      </c>
      <c r="B64" s="400"/>
      <c r="C64" s="61"/>
      <c r="D64" s="61"/>
      <c r="E64" s="61"/>
      <c r="F64" s="61">
        <v>3001</v>
      </c>
      <c r="G64" s="61"/>
      <c r="H64" s="61"/>
      <c r="I64" s="61"/>
      <c r="J64" s="61"/>
      <c r="K64" s="61"/>
      <c r="L64" s="61"/>
      <c r="M64" s="61"/>
      <c r="N64" s="61"/>
      <c r="O64" s="61"/>
      <c r="P64" s="61"/>
    </row>
    <row r="65" spans="1:16" s="69" customFormat="1" x14ac:dyDescent="0.25">
      <c r="A65" s="431"/>
      <c r="B65" s="43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</row>
    <row r="66" spans="1:16" s="69" customFormat="1" ht="39.75" customHeight="1" x14ac:dyDescent="0.25">
      <c r="A66" s="400" t="s">
        <v>148</v>
      </c>
      <c r="B66" s="400"/>
      <c r="C66" s="61"/>
      <c r="D66" s="61"/>
      <c r="E66" s="61"/>
      <c r="F66" s="61">
        <v>4000</v>
      </c>
      <c r="G66" s="61"/>
      <c r="H66" s="61"/>
      <c r="I66" s="61"/>
      <c r="J66" s="61"/>
      <c r="K66" s="61"/>
      <c r="L66" s="61"/>
      <c r="M66" s="61"/>
      <c r="N66" s="61"/>
      <c r="O66" s="61"/>
      <c r="P66" s="61"/>
    </row>
    <row r="67" spans="1:16" s="69" customFormat="1" x14ac:dyDescent="0.25">
      <c r="A67" s="400" t="s">
        <v>54</v>
      </c>
      <c r="B67" s="400"/>
      <c r="C67" s="61"/>
      <c r="D67" s="61"/>
      <c r="E67" s="61"/>
      <c r="F67" s="61">
        <v>4001</v>
      </c>
      <c r="G67" s="61"/>
      <c r="H67" s="61"/>
      <c r="I67" s="61"/>
      <c r="J67" s="61"/>
      <c r="K67" s="61"/>
      <c r="L67" s="61"/>
      <c r="M67" s="61"/>
      <c r="N67" s="61"/>
      <c r="O67" s="61"/>
      <c r="P67" s="61"/>
    </row>
    <row r="68" spans="1:16" s="69" customFormat="1" x14ac:dyDescent="0.25">
      <c r="A68" s="431"/>
      <c r="B68" s="43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</row>
    <row r="69" spans="1:16" s="69" customFormat="1" ht="39.75" customHeight="1" x14ac:dyDescent="0.25">
      <c r="A69" s="400" t="s">
        <v>149</v>
      </c>
      <c r="B69" s="400"/>
      <c r="C69" s="61"/>
      <c r="D69" s="61"/>
      <c r="E69" s="61"/>
      <c r="F69" s="61">
        <v>5000</v>
      </c>
      <c r="G69" s="61"/>
      <c r="H69" s="61"/>
      <c r="I69" s="61"/>
      <c r="J69" s="61"/>
      <c r="K69" s="61"/>
      <c r="L69" s="61"/>
      <c r="M69" s="61"/>
      <c r="N69" s="61"/>
      <c r="O69" s="61"/>
      <c r="P69" s="61"/>
    </row>
    <row r="70" spans="1:16" s="69" customFormat="1" x14ac:dyDescent="0.25">
      <c r="A70" s="400" t="s">
        <v>54</v>
      </c>
      <c r="B70" s="400"/>
      <c r="C70" s="61"/>
      <c r="D70" s="61"/>
      <c r="E70" s="61"/>
      <c r="F70" s="61">
        <v>5001</v>
      </c>
      <c r="G70" s="61"/>
      <c r="H70" s="61"/>
      <c r="I70" s="61"/>
      <c r="J70" s="61"/>
      <c r="K70" s="61"/>
      <c r="L70" s="61"/>
      <c r="M70" s="61"/>
      <c r="N70" s="61"/>
      <c r="O70" s="61"/>
      <c r="P70" s="61"/>
    </row>
    <row r="71" spans="1:16" s="69" customFormat="1" x14ac:dyDescent="0.25">
      <c r="A71" s="431"/>
      <c r="B71" s="43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</row>
    <row r="72" spans="1:16" s="69" customFormat="1" x14ac:dyDescent="0.25">
      <c r="A72" s="400" t="s">
        <v>178</v>
      </c>
      <c r="B72" s="400"/>
      <c r="C72" s="400"/>
      <c r="D72" s="400"/>
      <c r="E72" s="400"/>
      <c r="F72" s="61">
        <v>9000</v>
      </c>
      <c r="G72" s="61"/>
      <c r="H72" s="61"/>
      <c r="I72" s="61"/>
      <c r="J72" s="61"/>
      <c r="K72" s="61"/>
      <c r="L72" s="61"/>
      <c r="M72" s="61"/>
      <c r="N72" s="61"/>
      <c r="O72" s="61"/>
      <c r="P72" s="61"/>
    </row>
    <row r="73" spans="1:16" s="69" customFormat="1" ht="24" customHeight="1" x14ac:dyDescent="0.25"/>
    <row r="74" spans="1:16" x14ac:dyDescent="0.25">
      <c r="D74" s="57"/>
    </row>
    <row r="75" spans="1:16" x14ac:dyDescent="0.25">
      <c r="D75" s="57"/>
    </row>
    <row r="76" spans="1:16" x14ac:dyDescent="0.25">
      <c r="D76" s="57"/>
    </row>
  </sheetData>
  <mergeCells count="94">
    <mergeCell ref="A1:N1"/>
    <mergeCell ref="A2:N2"/>
    <mergeCell ref="A4:N4"/>
    <mergeCell ref="R6:R7"/>
    <mergeCell ref="A8:B8"/>
    <mergeCell ref="A6:B7"/>
    <mergeCell ref="C6:C7"/>
    <mergeCell ref="D6:E6"/>
    <mergeCell ref="F6:F7"/>
    <mergeCell ref="G6:G7"/>
    <mergeCell ref="H6:J6"/>
    <mergeCell ref="A14:B14"/>
    <mergeCell ref="K6:L6"/>
    <mergeCell ref="M6:N6"/>
    <mergeCell ref="O6:O7"/>
    <mergeCell ref="P6:Q6"/>
    <mergeCell ref="A9:B9"/>
    <mergeCell ref="A10:B10"/>
    <mergeCell ref="A11:B11"/>
    <mergeCell ref="A12:B12"/>
    <mergeCell ref="A13:B13"/>
    <mergeCell ref="A26:H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N25"/>
    <mergeCell ref="R27:R28"/>
    <mergeCell ref="A29:B29"/>
    <mergeCell ref="A27:B28"/>
    <mergeCell ref="C27:C28"/>
    <mergeCell ref="D27:E27"/>
    <mergeCell ref="F27:F28"/>
    <mergeCell ref="G27:G28"/>
    <mergeCell ref="H27:J27"/>
    <mergeCell ref="A35:B35"/>
    <mergeCell ref="K27:K28"/>
    <mergeCell ref="L27:N27"/>
    <mergeCell ref="O27:O28"/>
    <mergeCell ref="P27:Q27"/>
    <mergeCell ref="A30:B30"/>
    <mergeCell ref="A31:B31"/>
    <mergeCell ref="A32:B32"/>
    <mergeCell ref="A33:B33"/>
    <mergeCell ref="A34:B34"/>
    <mergeCell ref="A48:N48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E45"/>
    <mergeCell ref="A47:D47"/>
    <mergeCell ref="A49:N49"/>
    <mergeCell ref="A51:N51"/>
    <mergeCell ref="A52:N52"/>
    <mergeCell ref="A53:H53"/>
    <mergeCell ref="A54:B55"/>
    <mergeCell ref="C54:C55"/>
    <mergeCell ref="D54:E54"/>
    <mergeCell ref="F54:F55"/>
    <mergeCell ref="G54:G55"/>
    <mergeCell ref="H54:J54"/>
    <mergeCell ref="A63:B63"/>
    <mergeCell ref="K54:L54"/>
    <mergeCell ref="M54:M55"/>
    <mergeCell ref="N54:O54"/>
    <mergeCell ref="P54:P55"/>
    <mergeCell ref="A56:B56"/>
    <mergeCell ref="A57:B57"/>
    <mergeCell ref="A58:B58"/>
    <mergeCell ref="A59:B59"/>
    <mergeCell ref="A60:B60"/>
    <mergeCell ref="A61:B61"/>
    <mergeCell ref="A62:B62"/>
    <mergeCell ref="A70:B70"/>
    <mergeCell ref="A71:B71"/>
    <mergeCell ref="A72:E72"/>
    <mergeCell ref="A64:B64"/>
    <mergeCell ref="A65:B65"/>
    <mergeCell ref="A66:B66"/>
    <mergeCell ref="A67:B67"/>
    <mergeCell ref="A68:B68"/>
    <mergeCell ref="A69:B69"/>
  </mergeCells>
  <pageMargins left="0.39370078740157483" right="0.39370078740157483" top="0.78740157480314965" bottom="0.39370078740157483" header="0.31496062992125984" footer="0.31496062992125984"/>
  <pageSetup paperSize="9" scale="66" firstPageNumber="12" fitToHeight="200" orientation="landscape" useFirstPageNumber="1" r:id="rId1"/>
  <rowBreaks count="2" manualBreakCount="2">
    <brk id="24" max="16383" man="1"/>
    <brk id="5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Q53"/>
  <sheetViews>
    <sheetView view="pageBreakPreview" zoomScale="80" zoomScaleNormal="100" zoomScaleSheetLayoutView="80" workbookViewId="0">
      <selection activeCell="X31" sqref="X31"/>
    </sheetView>
  </sheetViews>
  <sheetFormatPr defaultColWidth="9.140625" defaultRowHeight="15" x14ac:dyDescent="0.25"/>
  <cols>
    <col min="1" max="1" width="9.28515625" style="53" bestFit="1" customWidth="1"/>
    <col min="2" max="2" width="6" style="53" customWidth="1"/>
    <col min="3" max="3" width="11.7109375" style="53" customWidth="1"/>
    <col min="4" max="4" width="7.7109375" style="53" customWidth="1"/>
    <col min="5" max="5" width="11.140625" style="53" customWidth="1"/>
    <col min="6" max="6" width="9.28515625" style="53" bestFit="1" customWidth="1"/>
    <col min="7" max="7" width="11.85546875" style="53" bestFit="1" customWidth="1"/>
    <col min="8" max="8" width="10.140625" style="53" bestFit="1" customWidth="1"/>
    <col min="9" max="9" width="12" style="53" customWidth="1"/>
    <col min="10" max="10" width="15" style="53" customWidth="1"/>
    <col min="11" max="11" width="16.42578125" style="53" customWidth="1"/>
    <col min="12" max="12" width="10.140625" style="53" bestFit="1" customWidth="1"/>
    <col min="13" max="13" width="18.85546875" style="53" customWidth="1"/>
    <col min="14" max="14" width="12.85546875" style="53" bestFit="1" customWidth="1"/>
    <col min="15" max="15" width="10.5703125" style="53" bestFit="1" customWidth="1"/>
    <col min="16" max="16" width="9.28515625" style="53" bestFit="1" customWidth="1"/>
    <col min="17" max="17" width="11.85546875" style="53" bestFit="1" customWidth="1"/>
    <col min="18" max="18" width="9.28515625" style="53" bestFit="1" customWidth="1"/>
    <col min="19" max="19" width="9.140625" style="53" customWidth="1"/>
    <col min="20" max="21" width="9.28515625" style="53" bestFit="1" customWidth="1"/>
    <col min="22" max="22" width="15.42578125" style="53" customWidth="1"/>
    <col min="23" max="23" width="9.28515625" style="53" bestFit="1" customWidth="1"/>
    <col min="24" max="24" width="20.7109375" style="53" customWidth="1"/>
    <col min="25" max="27" width="9.28515625" style="53" bestFit="1" customWidth="1"/>
    <col min="28" max="28" width="10.5703125" style="53" bestFit="1" customWidth="1"/>
    <col min="29" max="16384" width="9.140625" style="53"/>
  </cols>
  <sheetData>
    <row r="1" spans="1:43" s="80" customFormat="1" ht="15.6" customHeight="1" x14ac:dyDescent="0.25">
      <c r="E1" s="81" t="s">
        <v>963</v>
      </c>
      <c r="F1" s="81"/>
      <c r="G1" s="81"/>
      <c r="H1" s="81"/>
      <c r="I1" s="81"/>
      <c r="J1" s="81"/>
      <c r="K1" s="81"/>
      <c r="L1" s="81"/>
      <c r="M1" s="81"/>
      <c r="N1" s="81"/>
    </row>
    <row r="2" spans="1:43" s="69" customFormat="1" ht="17.45" customHeight="1" x14ac:dyDescent="0.25"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43" s="74" customFormat="1" ht="16.5" customHeight="1" x14ac:dyDescent="0.25">
      <c r="E3" s="75" t="s">
        <v>263</v>
      </c>
      <c r="F3" s="76"/>
      <c r="G3" s="76"/>
      <c r="H3" s="76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88"/>
      <c r="X3" s="88"/>
    </row>
    <row r="4" spans="1:43" s="74" customFormat="1" ht="16.5" customHeight="1" x14ac:dyDescent="0.25"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88"/>
      <c r="X4" s="88"/>
    </row>
    <row r="5" spans="1:43" s="74" customFormat="1" ht="24.75" customHeight="1" x14ac:dyDescent="0.25">
      <c r="E5" s="99"/>
      <c r="F5" s="77"/>
      <c r="G5" s="77"/>
      <c r="H5" s="77"/>
      <c r="I5" s="74" t="s">
        <v>925</v>
      </c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88"/>
      <c r="X5" s="88"/>
    </row>
    <row r="6" spans="1:43" s="72" customFormat="1" ht="12" x14ac:dyDescent="0.25">
      <c r="E6" s="73" t="s">
        <v>303</v>
      </c>
      <c r="F6" s="73"/>
      <c r="G6" s="73"/>
      <c r="H6" s="73"/>
      <c r="I6" s="73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7"/>
      <c r="X6" s="97"/>
    </row>
    <row r="7" spans="1:43" s="72" customFormat="1" ht="12" x14ac:dyDescent="0.25">
      <c r="E7" s="73" t="s">
        <v>304</v>
      </c>
      <c r="F7" s="73"/>
      <c r="G7" s="73"/>
      <c r="H7" s="73"/>
      <c r="I7" s="73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7"/>
      <c r="X7" s="97"/>
    </row>
    <row r="8" spans="1:43" s="72" customFormat="1" ht="12" x14ac:dyDescent="0.25">
      <c r="E8" s="73" t="s">
        <v>305</v>
      </c>
      <c r="F8" s="73"/>
      <c r="G8" s="73"/>
      <c r="H8" s="73"/>
      <c r="I8" s="73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7"/>
      <c r="X8" s="97"/>
    </row>
    <row r="9" spans="1:43" s="74" customFormat="1" ht="24.75" customHeight="1" x14ac:dyDescent="0.3">
      <c r="E9" s="100" t="s">
        <v>264</v>
      </c>
    </row>
    <row r="10" spans="1:43" s="69" customFormat="1" ht="15.75" customHeight="1" x14ac:dyDescent="0.25">
      <c r="H10" s="65"/>
    </row>
    <row r="11" spans="1:43" s="74" customFormat="1" ht="16.899999999999999" customHeight="1" x14ac:dyDescent="0.25">
      <c r="E11" s="75" t="s">
        <v>293</v>
      </c>
      <c r="F11" s="75"/>
      <c r="G11" s="75"/>
      <c r="H11" s="75"/>
      <c r="I11" s="75"/>
      <c r="J11" s="75"/>
      <c r="K11" s="75"/>
      <c r="L11" s="75"/>
      <c r="M11" s="75"/>
      <c r="N11" s="75"/>
    </row>
    <row r="12" spans="1:43" s="69" customFormat="1" ht="18.600000000000001" customHeight="1" x14ac:dyDescent="0.25">
      <c r="D12" s="65"/>
    </row>
    <row r="13" spans="1:43" s="69" customFormat="1" ht="35.25" customHeight="1" x14ac:dyDescent="0.25">
      <c r="A13" s="400" t="s">
        <v>179</v>
      </c>
      <c r="B13" s="400"/>
      <c r="C13" s="400"/>
      <c r="D13" s="400"/>
      <c r="E13" s="400" t="s">
        <v>9</v>
      </c>
      <c r="F13" s="400" t="s">
        <v>139</v>
      </c>
      <c r="G13" s="400" t="s">
        <v>417</v>
      </c>
      <c r="H13" s="400" t="s">
        <v>418</v>
      </c>
      <c r="I13" s="400" t="s">
        <v>301</v>
      </c>
      <c r="J13" s="400" t="s">
        <v>387</v>
      </c>
      <c r="K13" s="400" t="s">
        <v>388</v>
      </c>
      <c r="L13" s="400" t="s">
        <v>419</v>
      </c>
      <c r="M13" s="400" t="s">
        <v>307</v>
      </c>
      <c r="N13" s="400"/>
      <c r="O13" s="400"/>
      <c r="P13" s="400"/>
      <c r="Q13" s="400"/>
      <c r="R13" s="400"/>
      <c r="S13" s="400"/>
      <c r="T13" s="400"/>
      <c r="U13" s="431" t="s">
        <v>328</v>
      </c>
      <c r="V13" s="431"/>
      <c r="W13" s="431"/>
      <c r="X13" s="431"/>
      <c r="Y13" s="431"/>
      <c r="Z13" s="431"/>
      <c r="AA13" s="431"/>
      <c r="AB13" s="431"/>
      <c r="AC13" s="431"/>
      <c r="AD13" s="431"/>
      <c r="AE13" s="431"/>
      <c r="AF13" s="431"/>
      <c r="AG13" s="400" t="s">
        <v>199</v>
      </c>
      <c r="AH13" s="400"/>
      <c r="AI13" s="400"/>
      <c r="AJ13" s="400"/>
      <c r="AK13" s="400"/>
      <c r="AL13" s="400"/>
      <c r="AM13" s="400"/>
      <c r="AN13" s="400"/>
      <c r="AO13" s="400"/>
      <c r="AP13" s="400"/>
      <c r="AQ13" s="400"/>
    </row>
    <row r="14" spans="1:43" s="69" customFormat="1" ht="18" customHeight="1" x14ac:dyDescent="0.25">
      <c r="A14" s="400"/>
      <c r="B14" s="400"/>
      <c r="C14" s="400"/>
      <c r="D14" s="400"/>
      <c r="E14" s="400"/>
      <c r="F14" s="400"/>
      <c r="G14" s="400"/>
      <c r="H14" s="400"/>
      <c r="I14" s="400"/>
      <c r="J14" s="400"/>
      <c r="K14" s="400"/>
      <c r="L14" s="400"/>
      <c r="M14" s="400" t="s">
        <v>15</v>
      </c>
      <c r="N14" s="400" t="s">
        <v>54</v>
      </c>
      <c r="O14" s="400"/>
      <c r="P14" s="400"/>
      <c r="Q14" s="400"/>
      <c r="R14" s="400"/>
      <c r="S14" s="400"/>
      <c r="T14" s="400"/>
      <c r="U14" s="400" t="s">
        <v>193</v>
      </c>
      <c r="V14" s="400"/>
      <c r="W14" s="400" t="s">
        <v>194</v>
      </c>
      <c r="X14" s="400"/>
      <c r="Y14" s="400" t="s">
        <v>195</v>
      </c>
      <c r="Z14" s="400"/>
      <c r="AA14" s="400" t="s">
        <v>196</v>
      </c>
      <c r="AB14" s="400"/>
      <c r="AC14" s="400" t="s">
        <v>197</v>
      </c>
      <c r="AD14" s="400"/>
      <c r="AE14" s="400" t="s">
        <v>198</v>
      </c>
      <c r="AF14" s="400"/>
      <c r="AG14" s="400" t="s">
        <v>198</v>
      </c>
      <c r="AH14" s="400" t="s">
        <v>200</v>
      </c>
      <c r="AI14" s="400" t="s">
        <v>201</v>
      </c>
      <c r="AJ14" s="400" t="s">
        <v>202</v>
      </c>
      <c r="AK14" s="400" t="s">
        <v>203</v>
      </c>
      <c r="AL14" s="400" t="s">
        <v>204</v>
      </c>
      <c r="AM14" s="400" t="s">
        <v>205</v>
      </c>
      <c r="AN14" s="400" t="s">
        <v>206</v>
      </c>
      <c r="AO14" s="400" t="s">
        <v>207</v>
      </c>
      <c r="AP14" s="400" t="s">
        <v>208</v>
      </c>
      <c r="AQ14" s="400" t="s">
        <v>193</v>
      </c>
    </row>
    <row r="15" spans="1:43" s="69" customFormat="1" ht="18" customHeight="1" x14ac:dyDescent="0.25">
      <c r="A15" s="400"/>
      <c r="B15" s="400"/>
      <c r="C15" s="400"/>
      <c r="D15" s="400"/>
      <c r="E15" s="400"/>
      <c r="F15" s="400"/>
      <c r="G15" s="400"/>
      <c r="H15" s="400"/>
      <c r="I15" s="400"/>
      <c r="J15" s="400"/>
      <c r="K15" s="400"/>
      <c r="L15" s="400"/>
      <c r="M15" s="400"/>
      <c r="N15" s="400" t="s">
        <v>420</v>
      </c>
      <c r="O15" s="400" t="s">
        <v>181</v>
      </c>
      <c r="P15" s="400"/>
      <c r="Q15" s="400"/>
      <c r="R15" s="400" t="s">
        <v>182</v>
      </c>
      <c r="S15" s="400"/>
      <c r="T15" s="400"/>
      <c r="U15" s="400" t="s">
        <v>422</v>
      </c>
      <c r="V15" s="400" t="s">
        <v>423</v>
      </c>
      <c r="W15" s="400" t="s">
        <v>422</v>
      </c>
      <c r="X15" s="400" t="s">
        <v>423</v>
      </c>
      <c r="Y15" s="400" t="s">
        <v>422</v>
      </c>
      <c r="Z15" s="400" t="s">
        <v>423</v>
      </c>
      <c r="AA15" s="400" t="s">
        <v>422</v>
      </c>
      <c r="AB15" s="400" t="s">
        <v>423</v>
      </c>
      <c r="AC15" s="400" t="s">
        <v>422</v>
      </c>
      <c r="AD15" s="400" t="s">
        <v>423</v>
      </c>
      <c r="AE15" s="400" t="s">
        <v>422</v>
      </c>
      <c r="AF15" s="400" t="s">
        <v>423</v>
      </c>
      <c r="AG15" s="400"/>
      <c r="AH15" s="400"/>
      <c r="AI15" s="400"/>
      <c r="AJ15" s="400"/>
      <c r="AK15" s="400"/>
      <c r="AL15" s="400"/>
      <c r="AM15" s="400"/>
      <c r="AN15" s="400"/>
      <c r="AO15" s="400"/>
      <c r="AP15" s="400"/>
      <c r="AQ15" s="400"/>
    </row>
    <row r="16" spans="1:43" s="69" customFormat="1" ht="73.5" customHeight="1" x14ac:dyDescent="0.25">
      <c r="A16" s="400"/>
      <c r="B16" s="400"/>
      <c r="C16" s="400"/>
      <c r="D16" s="400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400" t="s">
        <v>15</v>
      </c>
      <c r="P16" s="400" t="s">
        <v>54</v>
      </c>
      <c r="Q16" s="400"/>
      <c r="R16" s="400" t="s">
        <v>183</v>
      </c>
      <c r="S16" s="400" t="s">
        <v>184</v>
      </c>
      <c r="T16" s="400"/>
      <c r="U16" s="400"/>
      <c r="V16" s="400"/>
      <c r="W16" s="400"/>
      <c r="X16" s="400"/>
      <c r="Y16" s="400"/>
      <c r="Z16" s="400"/>
      <c r="AA16" s="400"/>
      <c r="AB16" s="400"/>
      <c r="AC16" s="400"/>
      <c r="AD16" s="400"/>
      <c r="AE16" s="400"/>
      <c r="AF16" s="400"/>
      <c r="AG16" s="400"/>
      <c r="AH16" s="400"/>
      <c r="AI16" s="400"/>
      <c r="AJ16" s="400"/>
      <c r="AK16" s="400"/>
      <c r="AL16" s="400"/>
      <c r="AM16" s="400"/>
      <c r="AN16" s="400"/>
      <c r="AO16" s="400"/>
      <c r="AP16" s="400"/>
      <c r="AQ16" s="400"/>
    </row>
    <row r="17" spans="1:43" s="69" customFormat="1" ht="44.45" customHeight="1" x14ac:dyDescent="0.25">
      <c r="A17" s="400"/>
      <c r="B17" s="400"/>
      <c r="C17" s="400"/>
      <c r="D17" s="400"/>
      <c r="E17" s="400"/>
      <c r="F17" s="400"/>
      <c r="G17" s="400"/>
      <c r="H17" s="400"/>
      <c r="I17" s="400"/>
      <c r="J17" s="400"/>
      <c r="K17" s="400"/>
      <c r="L17" s="400"/>
      <c r="M17" s="400"/>
      <c r="N17" s="400"/>
      <c r="O17" s="400"/>
      <c r="P17" s="61" t="s">
        <v>185</v>
      </c>
      <c r="Q17" s="61" t="s">
        <v>421</v>
      </c>
      <c r="R17" s="400"/>
      <c r="S17" s="61" t="s">
        <v>15</v>
      </c>
      <c r="T17" s="61" t="s">
        <v>186</v>
      </c>
      <c r="U17" s="400"/>
      <c r="V17" s="400"/>
      <c r="W17" s="400"/>
      <c r="X17" s="400"/>
      <c r="Y17" s="400"/>
      <c r="Z17" s="400"/>
      <c r="AA17" s="400"/>
      <c r="AB17" s="400"/>
      <c r="AC17" s="400"/>
      <c r="AD17" s="400"/>
      <c r="AE17" s="400"/>
      <c r="AF17" s="400"/>
      <c r="AG17" s="400"/>
      <c r="AH17" s="400"/>
      <c r="AI17" s="400"/>
      <c r="AJ17" s="400"/>
      <c r="AK17" s="400"/>
      <c r="AL17" s="400"/>
      <c r="AM17" s="400"/>
      <c r="AN17" s="400"/>
      <c r="AO17" s="400"/>
      <c r="AP17" s="400"/>
      <c r="AQ17" s="400"/>
    </row>
    <row r="18" spans="1:43" s="69" customFormat="1" ht="16.149999999999999" customHeight="1" x14ac:dyDescent="0.25">
      <c r="A18" s="400">
        <v>1</v>
      </c>
      <c r="B18" s="400"/>
      <c r="C18" s="400"/>
      <c r="D18" s="400"/>
      <c r="E18" s="61">
        <v>2</v>
      </c>
      <c r="F18" s="61">
        <v>3</v>
      </c>
      <c r="G18" s="61">
        <v>4</v>
      </c>
      <c r="H18" s="61">
        <v>5</v>
      </c>
      <c r="I18" s="61">
        <v>6</v>
      </c>
      <c r="J18" s="61">
        <v>7</v>
      </c>
      <c r="K18" s="61">
        <v>8</v>
      </c>
      <c r="L18" s="61">
        <v>9</v>
      </c>
      <c r="M18" s="61">
        <v>10</v>
      </c>
      <c r="N18" s="61">
        <v>11</v>
      </c>
      <c r="O18" s="61">
        <v>12</v>
      </c>
      <c r="P18" s="61">
        <v>13</v>
      </c>
      <c r="Q18" s="61">
        <v>14</v>
      </c>
      <c r="R18" s="61">
        <v>15</v>
      </c>
      <c r="S18" s="61">
        <v>16</v>
      </c>
      <c r="T18" s="61">
        <v>17</v>
      </c>
      <c r="U18" s="61">
        <v>18</v>
      </c>
      <c r="V18" s="61">
        <v>19</v>
      </c>
      <c r="W18" s="61">
        <v>20</v>
      </c>
      <c r="X18" s="61">
        <v>21</v>
      </c>
      <c r="Y18" s="61">
        <v>22</v>
      </c>
      <c r="Z18" s="61">
        <v>23</v>
      </c>
      <c r="AA18" s="61">
        <v>24</v>
      </c>
      <c r="AB18" s="61">
        <v>25</v>
      </c>
      <c r="AC18" s="61">
        <v>26</v>
      </c>
      <c r="AD18" s="61">
        <v>27</v>
      </c>
      <c r="AE18" s="61">
        <v>28</v>
      </c>
      <c r="AF18" s="61">
        <v>29</v>
      </c>
      <c r="AG18" s="61">
        <v>30</v>
      </c>
      <c r="AH18" s="61">
        <v>31</v>
      </c>
      <c r="AI18" s="61">
        <v>32</v>
      </c>
      <c r="AJ18" s="61">
        <v>33</v>
      </c>
      <c r="AK18" s="61">
        <v>34</v>
      </c>
      <c r="AL18" s="61">
        <v>35</v>
      </c>
      <c r="AM18" s="61">
        <v>36</v>
      </c>
      <c r="AN18" s="61">
        <v>37</v>
      </c>
      <c r="AO18" s="61">
        <v>38</v>
      </c>
      <c r="AP18" s="61">
        <v>39</v>
      </c>
      <c r="AQ18" s="61">
        <v>40</v>
      </c>
    </row>
    <row r="19" spans="1:43" s="65" customFormat="1" ht="41.25" customHeight="1" x14ac:dyDescent="0.25">
      <c r="A19" s="400" t="s">
        <v>187</v>
      </c>
      <c r="B19" s="400"/>
      <c r="C19" s="400"/>
      <c r="D19" s="400"/>
      <c r="E19" s="61">
        <v>1000</v>
      </c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</row>
    <row r="20" spans="1:43" s="65" customFormat="1" ht="12.75" x14ac:dyDescent="0.25">
      <c r="A20" s="400" t="s">
        <v>54</v>
      </c>
      <c r="B20" s="400"/>
      <c r="C20" s="400"/>
      <c r="D20" s="400"/>
      <c r="E20" s="400">
        <v>1100</v>
      </c>
      <c r="F20" s="400"/>
      <c r="G20" s="400"/>
      <c r="H20" s="400"/>
      <c r="I20" s="400"/>
      <c r="J20" s="400"/>
      <c r="K20" s="400"/>
      <c r="L20" s="400"/>
      <c r="M20" s="400"/>
      <c r="N20" s="400"/>
      <c r="O20" s="400"/>
      <c r="P20" s="400"/>
      <c r="Q20" s="400"/>
      <c r="R20" s="400"/>
      <c r="S20" s="400"/>
      <c r="T20" s="400"/>
      <c r="U20" s="400"/>
      <c r="V20" s="400"/>
      <c r="W20" s="400"/>
      <c r="X20" s="400"/>
      <c r="Y20" s="400"/>
      <c r="Z20" s="400"/>
      <c r="AA20" s="400"/>
      <c r="AB20" s="400"/>
      <c r="AC20" s="400"/>
      <c r="AD20" s="400"/>
      <c r="AE20" s="400"/>
      <c r="AF20" s="400"/>
      <c r="AG20" s="400"/>
      <c r="AH20" s="400"/>
      <c r="AI20" s="400"/>
      <c r="AJ20" s="400"/>
      <c r="AK20" s="400"/>
      <c r="AL20" s="400"/>
      <c r="AM20" s="400"/>
      <c r="AN20" s="400"/>
      <c r="AO20" s="400"/>
      <c r="AP20" s="400"/>
      <c r="AQ20" s="400"/>
    </row>
    <row r="21" spans="1:43" s="65" customFormat="1" ht="19.149999999999999" customHeight="1" x14ac:dyDescent="0.25">
      <c r="A21" s="400" t="s">
        <v>188</v>
      </c>
      <c r="B21" s="400"/>
      <c r="C21" s="400"/>
      <c r="D21" s="400"/>
      <c r="E21" s="400"/>
      <c r="F21" s="400"/>
      <c r="G21" s="400"/>
      <c r="H21" s="400"/>
      <c r="I21" s="400"/>
      <c r="J21" s="400"/>
      <c r="K21" s="400"/>
      <c r="L21" s="400"/>
      <c r="M21" s="400"/>
      <c r="N21" s="400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00"/>
      <c r="Z21" s="400"/>
      <c r="AA21" s="400"/>
      <c r="AB21" s="400"/>
      <c r="AC21" s="400"/>
      <c r="AD21" s="400"/>
      <c r="AE21" s="400"/>
      <c r="AF21" s="400"/>
      <c r="AG21" s="400"/>
      <c r="AH21" s="400"/>
      <c r="AI21" s="400"/>
      <c r="AJ21" s="400"/>
      <c r="AK21" s="400"/>
      <c r="AL21" s="400"/>
      <c r="AM21" s="400"/>
      <c r="AN21" s="400"/>
      <c r="AO21" s="400"/>
      <c r="AP21" s="400"/>
      <c r="AQ21" s="400"/>
    </row>
    <row r="22" spans="1:43" s="65" customFormat="1" ht="18.600000000000001" customHeight="1" x14ac:dyDescent="0.25">
      <c r="A22" s="400" t="s">
        <v>59</v>
      </c>
      <c r="B22" s="400"/>
      <c r="C22" s="400"/>
      <c r="D22" s="400"/>
      <c r="E22" s="400">
        <v>1110</v>
      </c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  <c r="Q22" s="400"/>
      <c r="R22" s="400"/>
      <c r="S22" s="400"/>
      <c r="T22" s="400"/>
      <c r="U22" s="400"/>
      <c r="V22" s="400"/>
      <c r="W22" s="400"/>
      <c r="X22" s="400"/>
      <c r="Y22" s="400"/>
      <c r="Z22" s="400"/>
      <c r="AA22" s="400"/>
      <c r="AB22" s="400"/>
      <c r="AC22" s="400"/>
      <c r="AD22" s="400"/>
      <c r="AE22" s="400"/>
      <c r="AF22" s="400"/>
      <c r="AG22" s="400"/>
      <c r="AH22" s="400"/>
      <c r="AI22" s="400"/>
      <c r="AJ22" s="400"/>
      <c r="AK22" s="400"/>
      <c r="AL22" s="400"/>
      <c r="AM22" s="400"/>
      <c r="AN22" s="400"/>
      <c r="AO22" s="400"/>
      <c r="AP22" s="400"/>
      <c r="AQ22" s="400"/>
    </row>
    <row r="23" spans="1:43" s="65" customFormat="1" ht="44.25" customHeight="1" x14ac:dyDescent="0.25">
      <c r="A23" s="400" t="s">
        <v>262</v>
      </c>
      <c r="B23" s="400"/>
      <c r="C23" s="400"/>
      <c r="D23" s="400"/>
      <c r="E23" s="400"/>
      <c r="F23" s="400"/>
      <c r="G23" s="400"/>
      <c r="H23" s="400"/>
      <c r="I23" s="400"/>
      <c r="J23" s="400"/>
      <c r="K23" s="400"/>
      <c r="L23" s="400"/>
      <c r="M23" s="400"/>
      <c r="N23" s="400"/>
      <c r="O23" s="400"/>
      <c r="P23" s="400"/>
      <c r="Q23" s="400"/>
      <c r="R23" s="400"/>
      <c r="S23" s="400"/>
      <c r="T23" s="400"/>
      <c r="U23" s="400"/>
      <c r="V23" s="400"/>
      <c r="W23" s="400"/>
      <c r="X23" s="400"/>
      <c r="Y23" s="400"/>
      <c r="Z23" s="400"/>
      <c r="AA23" s="400"/>
      <c r="AB23" s="400"/>
      <c r="AC23" s="400"/>
      <c r="AD23" s="400"/>
      <c r="AE23" s="400"/>
      <c r="AF23" s="400"/>
      <c r="AG23" s="400"/>
      <c r="AH23" s="400"/>
      <c r="AI23" s="400"/>
      <c r="AJ23" s="400"/>
      <c r="AK23" s="400"/>
      <c r="AL23" s="400"/>
      <c r="AM23" s="400"/>
      <c r="AN23" s="400"/>
      <c r="AO23" s="400"/>
      <c r="AP23" s="400"/>
      <c r="AQ23" s="400"/>
    </row>
    <row r="24" spans="1:43" s="65" customFormat="1" ht="12.75" x14ac:dyDescent="0.25">
      <c r="A24" s="478"/>
      <c r="B24" s="478"/>
      <c r="C24" s="478"/>
      <c r="D24" s="478"/>
      <c r="E24" s="61"/>
      <c r="F24" s="66"/>
      <c r="G24" s="66"/>
      <c r="H24" s="66"/>
      <c r="I24" s="66"/>
      <c r="J24" s="66"/>
      <c r="K24" s="66"/>
      <c r="L24" s="66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</row>
    <row r="25" spans="1:43" s="65" customFormat="1" ht="15.6" customHeight="1" x14ac:dyDescent="0.25">
      <c r="A25" s="400" t="s">
        <v>189</v>
      </c>
      <c r="B25" s="400"/>
      <c r="C25" s="400"/>
      <c r="D25" s="400"/>
      <c r="E25" s="61">
        <v>1200</v>
      </c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</row>
    <row r="26" spans="1:43" s="163" customFormat="1" ht="17.45" customHeight="1" x14ac:dyDescent="0.25">
      <c r="A26" s="400" t="s">
        <v>190</v>
      </c>
      <c r="B26" s="400"/>
      <c r="C26" s="400"/>
      <c r="D26" s="400"/>
      <c r="E26" s="155">
        <v>2000</v>
      </c>
      <c r="F26" s="155"/>
      <c r="G26" s="155"/>
      <c r="H26" s="155"/>
      <c r="I26" s="155"/>
      <c r="J26" s="167">
        <f>J27+J35</f>
        <v>3273935</v>
      </c>
      <c r="K26" s="167">
        <f>K27+K35</f>
        <v>3148814</v>
      </c>
      <c r="L26" s="155"/>
      <c r="M26" s="167">
        <f>J26</f>
        <v>3273935</v>
      </c>
      <c r="N26" s="167">
        <f>M26</f>
        <v>3273935</v>
      </c>
      <c r="O26" s="155"/>
      <c r="P26" s="155"/>
      <c r="Q26" s="155"/>
      <c r="R26" s="155"/>
      <c r="S26" s="155"/>
      <c r="T26" s="155"/>
      <c r="U26" s="165">
        <f t="shared" ref="U26:AF26" si="0">U27+U35</f>
        <v>1</v>
      </c>
      <c r="V26" s="166">
        <f t="shared" si="0"/>
        <v>125121</v>
      </c>
      <c r="W26" s="165">
        <f t="shared" si="0"/>
        <v>0</v>
      </c>
      <c r="X26" s="166">
        <f t="shared" si="0"/>
        <v>3148814</v>
      </c>
      <c r="Y26" s="165">
        <f t="shared" si="0"/>
        <v>0</v>
      </c>
      <c r="Z26" s="166">
        <f t="shared" si="0"/>
        <v>0</v>
      </c>
      <c r="AA26" s="165">
        <f t="shared" si="0"/>
        <v>0</v>
      </c>
      <c r="AB26" s="166">
        <f t="shared" si="0"/>
        <v>0</v>
      </c>
      <c r="AC26" s="165">
        <f t="shared" si="0"/>
        <v>0</v>
      </c>
      <c r="AD26" s="166">
        <f t="shared" si="0"/>
        <v>0</v>
      </c>
      <c r="AE26" s="165">
        <f t="shared" si="0"/>
        <v>0</v>
      </c>
      <c r="AF26" s="166">
        <f t="shared" si="0"/>
        <v>0</v>
      </c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</row>
    <row r="27" spans="1:43" s="163" customFormat="1" ht="18.600000000000001" customHeight="1" x14ac:dyDescent="0.25">
      <c r="A27" s="400" t="s">
        <v>54</v>
      </c>
      <c r="B27" s="400"/>
      <c r="C27" s="400"/>
      <c r="D27" s="400"/>
      <c r="E27" s="400">
        <v>2100</v>
      </c>
      <c r="F27" s="400"/>
      <c r="G27" s="400"/>
      <c r="H27" s="400"/>
      <c r="I27" s="400"/>
      <c r="J27" s="505">
        <f>J29</f>
        <v>3273935</v>
      </c>
      <c r="K27" s="505">
        <f>K29</f>
        <v>3148814</v>
      </c>
      <c r="L27" s="400"/>
      <c r="M27" s="505">
        <f>J27</f>
        <v>3273935</v>
      </c>
      <c r="N27" s="505">
        <f>M27</f>
        <v>3273935</v>
      </c>
      <c r="O27" s="400"/>
      <c r="P27" s="400"/>
      <c r="Q27" s="400"/>
      <c r="R27" s="400"/>
      <c r="S27" s="400"/>
      <c r="T27" s="400"/>
      <c r="U27" s="503">
        <f>U29</f>
        <v>1</v>
      </c>
      <c r="V27" s="504">
        <f>V29</f>
        <v>125121</v>
      </c>
      <c r="W27" s="400"/>
      <c r="X27" s="504">
        <f>X29</f>
        <v>3148814</v>
      </c>
      <c r="Y27" s="400"/>
      <c r="Z27" s="400"/>
      <c r="AA27" s="400"/>
      <c r="AB27" s="400"/>
      <c r="AC27" s="400"/>
      <c r="AD27" s="400"/>
      <c r="AE27" s="400"/>
      <c r="AF27" s="400"/>
      <c r="AG27" s="400"/>
      <c r="AH27" s="400"/>
      <c r="AI27" s="400"/>
      <c r="AJ27" s="400"/>
      <c r="AK27" s="400"/>
      <c r="AL27" s="400"/>
      <c r="AM27" s="400"/>
      <c r="AN27" s="400"/>
      <c r="AO27" s="400"/>
      <c r="AP27" s="400"/>
      <c r="AQ27" s="400"/>
    </row>
    <row r="28" spans="1:43" s="163" customFormat="1" ht="18" customHeight="1" x14ac:dyDescent="0.25">
      <c r="A28" s="400" t="s">
        <v>188</v>
      </c>
      <c r="B28" s="400"/>
      <c r="C28" s="400"/>
      <c r="D28" s="400"/>
      <c r="E28" s="400"/>
      <c r="F28" s="400"/>
      <c r="G28" s="400"/>
      <c r="H28" s="400"/>
      <c r="I28" s="400"/>
      <c r="J28" s="400"/>
      <c r="K28" s="400"/>
      <c r="L28" s="400"/>
      <c r="M28" s="400"/>
      <c r="N28" s="505"/>
      <c r="O28" s="400"/>
      <c r="P28" s="400"/>
      <c r="Q28" s="400"/>
      <c r="R28" s="400"/>
      <c r="S28" s="400"/>
      <c r="T28" s="400"/>
      <c r="U28" s="400"/>
      <c r="V28" s="400"/>
      <c r="W28" s="400"/>
      <c r="X28" s="400"/>
      <c r="Y28" s="400"/>
      <c r="Z28" s="400"/>
      <c r="AA28" s="400"/>
      <c r="AB28" s="400"/>
      <c r="AC28" s="400"/>
      <c r="AD28" s="400"/>
      <c r="AE28" s="400"/>
      <c r="AF28" s="400"/>
      <c r="AG28" s="400"/>
      <c r="AH28" s="400"/>
      <c r="AI28" s="400"/>
      <c r="AJ28" s="400"/>
      <c r="AK28" s="400"/>
      <c r="AL28" s="400"/>
      <c r="AM28" s="400"/>
      <c r="AN28" s="400"/>
      <c r="AO28" s="400"/>
      <c r="AP28" s="400"/>
      <c r="AQ28" s="400"/>
    </row>
    <row r="29" spans="1:43" s="163" customFormat="1" ht="15" customHeight="1" x14ac:dyDescent="0.25">
      <c r="A29" s="400" t="s">
        <v>59</v>
      </c>
      <c r="B29" s="400"/>
      <c r="C29" s="400"/>
      <c r="D29" s="400"/>
      <c r="E29" s="400">
        <v>2110</v>
      </c>
      <c r="F29" s="400"/>
      <c r="G29" s="400"/>
      <c r="H29" s="400"/>
      <c r="I29" s="400"/>
      <c r="J29" s="505">
        <f>J31+J32+J33+J34</f>
        <v>3273935</v>
      </c>
      <c r="K29" s="505">
        <f>K31+K32+K33+K34</f>
        <v>3148814</v>
      </c>
      <c r="L29" s="400"/>
      <c r="M29" s="505">
        <f>J29</f>
        <v>3273935</v>
      </c>
      <c r="N29" s="505">
        <f>M29</f>
        <v>3273935</v>
      </c>
      <c r="O29" s="400"/>
      <c r="P29" s="400"/>
      <c r="Q29" s="400"/>
      <c r="R29" s="400"/>
      <c r="S29" s="400"/>
      <c r="T29" s="400"/>
      <c r="U29" s="503">
        <f>U31</f>
        <v>1</v>
      </c>
      <c r="V29" s="504">
        <f>V31</f>
        <v>125121</v>
      </c>
      <c r="W29" s="503">
        <f t="shared" ref="W29:AF29" si="1">W31</f>
        <v>0</v>
      </c>
      <c r="X29" s="504">
        <f>X33+X34+X32</f>
        <v>3148814</v>
      </c>
      <c r="Y29" s="503">
        <f t="shared" si="1"/>
        <v>0</v>
      </c>
      <c r="Z29" s="504">
        <f t="shared" si="1"/>
        <v>0</v>
      </c>
      <c r="AA29" s="503">
        <f t="shared" si="1"/>
        <v>0</v>
      </c>
      <c r="AB29" s="504">
        <f t="shared" si="1"/>
        <v>0</v>
      </c>
      <c r="AC29" s="503">
        <f t="shared" si="1"/>
        <v>0</v>
      </c>
      <c r="AD29" s="504">
        <f t="shared" si="1"/>
        <v>0</v>
      </c>
      <c r="AE29" s="503">
        <f t="shared" si="1"/>
        <v>0</v>
      </c>
      <c r="AF29" s="504">
        <f t="shared" si="1"/>
        <v>0</v>
      </c>
      <c r="AG29" s="400"/>
      <c r="AH29" s="400"/>
      <c r="AI29" s="400"/>
      <c r="AJ29" s="400"/>
      <c r="AK29" s="400"/>
      <c r="AL29" s="400"/>
      <c r="AM29" s="400"/>
      <c r="AN29" s="400"/>
      <c r="AO29" s="400"/>
      <c r="AP29" s="400"/>
      <c r="AQ29" s="400"/>
    </row>
    <row r="30" spans="1:43" s="163" customFormat="1" ht="38.25" customHeight="1" x14ac:dyDescent="0.25">
      <c r="A30" s="400" t="s">
        <v>262</v>
      </c>
      <c r="B30" s="400"/>
      <c r="C30" s="400"/>
      <c r="D30" s="400"/>
      <c r="E30" s="400"/>
      <c r="F30" s="400"/>
      <c r="G30" s="400"/>
      <c r="H30" s="400"/>
      <c r="I30" s="400"/>
      <c r="J30" s="400"/>
      <c r="K30" s="400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0"/>
      <c r="X30" s="400"/>
      <c r="Y30" s="400"/>
      <c r="Z30" s="400"/>
      <c r="AA30" s="400"/>
      <c r="AB30" s="400"/>
      <c r="AC30" s="400"/>
      <c r="AD30" s="400"/>
      <c r="AE30" s="400"/>
      <c r="AF30" s="400"/>
      <c r="AG30" s="400"/>
      <c r="AH30" s="400"/>
      <c r="AI30" s="400"/>
      <c r="AJ30" s="400"/>
      <c r="AK30" s="400"/>
      <c r="AL30" s="400"/>
      <c r="AM30" s="400"/>
      <c r="AN30" s="400"/>
      <c r="AO30" s="400"/>
      <c r="AP30" s="400"/>
      <c r="AQ30" s="400"/>
    </row>
    <row r="31" spans="1:43" s="163" customFormat="1" ht="63.75" x14ac:dyDescent="0.25">
      <c r="A31" s="478" t="s">
        <v>515</v>
      </c>
      <c r="B31" s="478"/>
      <c r="C31" s="478"/>
      <c r="D31" s="478"/>
      <c r="E31" s="155">
        <v>2111</v>
      </c>
      <c r="F31" s="155" t="s">
        <v>946</v>
      </c>
      <c r="G31" s="160" t="s">
        <v>947</v>
      </c>
      <c r="H31" s="37" t="s">
        <v>516</v>
      </c>
      <c r="I31" s="160">
        <v>2010</v>
      </c>
      <c r="J31" s="12">
        <v>125121</v>
      </c>
      <c r="K31" s="12">
        <v>0</v>
      </c>
      <c r="L31" s="155" t="s">
        <v>949</v>
      </c>
      <c r="M31" s="167">
        <f>J31</f>
        <v>125121</v>
      </c>
      <c r="N31" s="167">
        <f>J31</f>
        <v>125121</v>
      </c>
      <c r="O31" s="155"/>
      <c r="P31" s="155"/>
      <c r="Q31" s="155"/>
      <c r="R31" s="155"/>
      <c r="S31" s="155"/>
      <c r="T31" s="155"/>
      <c r="U31" s="42">
        <v>1</v>
      </c>
      <c r="V31" s="43">
        <v>125121</v>
      </c>
      <c r="W31" s="42">
        <v>0</v>
      </c>
      <c r="X31" s="43">
        <v>0</v>
      </c>
      <c r="Y31" s="42">
        <v>0</v>
      </c>
      <c r="Z31" s="43">
        <v>0</v>
      </c>
      <c r="AA31" s="42">
        <v>0</v>
      </c>
      <c r="AB31" s="43">
        <v>0</v>
      </c>
      <c r="AC31" s="42">
        <v>0</v>
      </c>
      <c r="AD31" s="43">
        <v>0</v>
      </c>
      <c r="AE31" s="42">
        <v>0</v>
      </c>
      <c r="AF31" s="43">
        <v>0</v>
      </c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</row>
    <row r="32" spans="1:43" s="359" customFormat="1" ht="90" customHeight="1" x14ac:dyDescent="0.25">
      <c r="A32" s="500" t="s">
        <v>1414</v>
      </c>
      <c r="B32" s="501"/>
      <c r="C32" s="501"/>
      <c r="D32" s="502"/>
      <c r="E32" s="355">
        <v>2112</v>
      </c>
      <c r="F32" s="355" t="s">
        <v>946</v>
      </c>
      <c r="G32" s="358"/>
      <c r="H32" s="367" t="s">
        <v>1415</v>
      </c>
      <c r="I32" s="358">
        <v>2024</v>
      </c>
      <c r="J32" s="12">
        <v>158400</v>
      </c>
      <c r="K32" s="12">
        <v>158400</v>
      </c>
      <c r="L32" s="355"/>
      <c r="M32" s="360">
        <f>J32</f>
        <v>158400</v>
      </c>
      <c r="N32" s="360">
        <f>J32</f>
        <v>158400</v>
      </c>
      <c r="O32" s="355"/>
      <c r="P32" s="355"/>
      <c r="Q32" s="355"/>
      <c r="R32" s="355"/>
      <c r="S32" s="355"/>
      <c r="T32" s="355"/>
      <c r="U32" s="42"/>
      <c r="V32" s="43"/>
      <c r="W32" s="42">
        <v>1</v>
      </c>
      <c r="X32" s="43">
        <v>158400</v>
      </c>
      <c r="Y32" s="42">
        <v>0</v>
      </c>
      <c r="Z32" s="43">
        <v>0</v>
      </c>
      <c r="AA32" s="42">
        <v>0</v>
      </c>
      <c r="AB32" s="43">
        <v>0</v>
      </c>
      <c r="AC32" s="42">
        <v>0</v>
      </c>
      <c r="AD32" s="43">
        <v>0</v>
      </c>
      <c r="AE32" s="42">
        <v>0</v>
      </c>
      <c r="AF32" s="43">
        <v>0</v>
      </c>
      <c r="AG32" s="355"/>
      <c r="AH32" s="355"/>
      <c r="AI32" s="355"/>
      <c r="AJ32" s="355"/>
      <c r="AK32" s="355"/>
      <c r="AL32" s="355"/>
      <c r="AM32" s="355"/>
      <c r="AN32" s="355"/>
      <c r="AO32" s="355"/>
      <c r="AP32" s="355"/>
      <c r="AQ32" s="355"/>
    </row>
    <row r="33" spans="1:43" s="359" customFormat="1" ht="90" customHeight="1" x14ac:dyDescent="0.25">
      <c r="A33" s="500" t="s">
        <v>1416</v>
      </c>
      <c r="B33" s="501"/>
      <c r="C33" s="501"/>
      <c r="D33" s="502"/>
      <c r="E33" s="355">
        <v>2113</v>
      </c>
      <c r="F33" s="355" t="s">
        <v>946</v>
      </c>
      <c r="G33" s="358"/>
      <c r="H33" s="367" t="s">
        <v>1417</v>
      </c>
      <c r="I33" s="358">
        <v>2024</v>
      </c>
      <c r="J33" s="12">
        <v>1373496</v>
      </c>
      <c r="K33" s="12">
        <f>J33</f>
        <v>1373496</v>
      </c>
      <c r="L33" s="355"/>
      <c r="M33" s="360">
        <f>J33</f>
        <v>1373496</v>
      </c>
      <c r="N33" s="360">
        <f>J33</f>
        <v>1373496</v>
      </c>
      <c r="O33" s="355"/>
      <c r="P33" s="355"/>
      <c r="Q33" s="355"/>
      <c r="R33" s="355"/>
      <c r="S33" s="355"/>
      <c r="T33" s="355"/>
      <c r="U33" s="42"/>
      <c r="V33" s="43"/>
      <c r="W33" s="42">
        <v>1</v>
      </c>
      <c r="X33" s="43">
        <f>N33</f>
        <v>1373496</v>
      </c>
      <c r="Y33" s="42">
        <v>0</v>
      </c>
      <c r="Z33" s="43">
        <v>0</v>
      </c>
      <c r="AA33" s="42">
        <v>0</v>
      </c>
      <c r="AB33" s="43">
        <v>0</v>
      </c>
      <c r="AC33" s="42">
        <v>0</v>
      </c>
      <c r="AD33" s="43">
        <v>0</v>
      </c>
      <c r="AE33" s="42">
        <v>0</v>
      </c>
      <c r="AF33" s="43">
        <v>0</v>
      </c>
      <c r="AG33" s="355"/>
      <c r="AH33" s="355"/>
      <c r="AI33" s="355"/>
      <c r="AJ33" s="355"/>
      <c r="AK33" s="355"/>
      <c r="AL33" s="355"/>
      <c r="AM33" s="355"/>
      <c r="AN33" s="355"/>
      <c r="AO33" s="355"/>
      <c r="AP33" s="355"/>
      <c r="AQ33" s="355"/>
    </row>
    <row r="34" spans="1:43" s="359" customFormat="1" ht="90" customHeight="1" x14ac:dyDescent="0.25">
      <c r="A34" s="500" t="s">
        <v>1418</v>
      </c>
      <c r="B34" s="501"/>
      <c r="C34" s="501"/>
      <c r="D34" s="502"/>
      <c r="E34" s="355">
        <v>2114</v>
      </c>
      <c r="F34" s="355" t="s">
        <v>946</v>
      </c>
      <c r="G34" s="358"/>
      <c r="H34" s="367" t="s">
        <v>1419</v>
      </c>
      <c r="I34" s="358">
        <v>2024</v>
      </c>
      <c r="J34" s="12">
        <v>1616918</v>
      </c>
      <c r="K34" s="12">
        <f>J34</f>
        <v>1616918</v>
      </c>
      <c r="L34" s="355"/>
      <c r="M34" s="360">
        <f>J34</f>
        <v>1616918</v>
      </c>
      <c r="N34" s="360">
        <f>J34</f>
        <v>1616918</v>
      </c>
      <c r="O34" s="355"/>
      <c r="P34" s="355"/>
      <c r="Q34" s="355"/>
      <c r="R34" s="355"/>
      <c r="S34" s="355"/>
      <c r="T34" s="355"/>
      <c r="U34" s="42"/>
      <c r="V34" s="43"/>
      <c r="W34" s="42">
        <v>1</v>
      </c>
      <c r="X34" s="43">
        <f>N34</f>
        <v>1616918</v>
      </c>
      <c r="Y34" s="42">
        <v>0</v>
      </c>
      <c r="Z34" s="43">
        <v>0</v>
      </c>
      <c r="AA34" s="42">
        <v>0</v>
      </c>
      <c r="AB34" s="43">
        <v>0</v>
      </c>
      <c r="AC34" s="42">
        <v>0</v>
      </c>
      <c r="AD34" s="43">
        <v>0</v>
      </c>
      <c r="AE34" s="42">
        <v>0</v>
      </c>
      <c r="AF34" s="43">
        <v>0</v>
      </c>
      <c r="AG34" s="355"/>
      <c r="AH34" s="355"/>
      <c r="AI34" s="355"/>
      <c r="AJ34" s="355"/>
      <c r="AK34" s="355"/>
      <c r="AL34" s="355"/>
      <c r="AM34" s="355"/>
      <c r="AN34" s="355"/>
      <c r="AO34" s="355"/>
      <c r="AP34" s="355"/>
      <c r="AQ34" s="355"/>
    </row>
    <row r="35" spans="1:43" s="65" customFormat="1" ht="16.149999999999999" customHeight="1" x14ac:dyDescent="0.25">
      <c r="A35" s="400" t="s">
        <v>189</v>
      </c>
      <c r="B35" s="400"/>
      <c r="C35" s="400"/>
      <c r="D35" s="400"/>
      <c r="E35" s="61">
        <v>2200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</row>
    <row r="36" spans="1:43" s="65" customFormat="1" ht="26.25" customHeight="1" x14ac:dyDescent="0.25">
      <c r="A36" s="400" t="s">
        <v>191</v>
      </c>
      <c r="B36" s="400"/>
      <c r="C36" s="400"/>
      <c r="D36" s="400"/>
      <c r="E36" s="61">
        <v>3000</v>
      </c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</row>
    <row r="37" spans="1:43" s="65" customFormat="1" ht="12.75" x14ac:dyDescent="0.25">
      <c r="A37" s="400" t="s">
        <v>54</v>
      </c>
      <c r="B37" s="400"/>
      <c r="C37" s="400"/>
      <c r="D37" s="400"/>
      <c r="E37" s="400">
        <v>3100</v>
      </c>
      <c r="F37" s="400"/>
      <c r="G37" s="400"/>
      <c r="H37" s="400"/>
      <c r="I37" s="400"/>
      <c r="J37" s="400"/>
      <c r="K37" s="400"/>
      <c r="L37" s="400"/>
      <c r="M37" s="400"/>
      <c r="N37" s="400"/>
      <c r="O37" s="400"/>
      <c r="P37" s="400"/>
      <c r="Q37" s="400"/>
      <c r="R37" s="400"/>
      <c r="S37" s="400"/>
      <c r="T37" s="400"/>
      <c r="U37" s="400"/>
      <c r="V37" s="400"/>
      <c r="W37" s="400"/>
      <c r="X37" s="400"/>
      <c r="Y37" s="400"/>
      <c r="Z37" s="400"/>
      <c r="AA37" s="400"/>
      <c r="AB37" s="400"/>
      <c r="AC37" s="400"/>
      <c r="AD37" s="400"/>
      <c r="AE37" s="400"/>
      <c r="AF37" s="400"/>
      <c r="AG37" s="400"/>
      <c r="AH37" s="400"/>
      <c r="AI37" s="400"/>
      <c r="AJ37" s="400"/>
      <c r="AK37" s="400"/>
      <c r="AL37" s="400"/>
      <c r="AM37" s="400"/>
      <c r="AN37" s="400"/>
      <c r="AO37" s="400"/>
      <c r="AP37" s="400"/>
      <c r="AQ37" s="400"/>
    </row>
    <row r="38" spans="1:43" s="65" customFormat="1" ht="12.75" x14ac:dyDescent="0.25">
      <c r="A38" s="400" t="s">
        <v>188</v>
      </c>
      <c r="B38" s="400"/>
      <c r="C38" s="400"/>
      <c r="D38" s="400"/>
      <c r="E38" s="400"/>
      <c r="F38" s="400"/>
      <c r="G38" s="400"/>
      <c r="H38" s="400"/>
      <c r="I38" s="400"/>
      <c r="J38" s="400"/>
      <c r="K38" s="400"/>
      <c r="L38" s="400"/>
      <c r="M38" s="400"/>
      <c r="N38" s="400"/>
      <c r="O38" s="400"/>
      <c r="P38" s="400"/>
      <c r="Q38" s="400"/>
      <c r="R38" s="400"/>
      <c r="S38" s="400"/>
      <c r="T38" s="400"/>
      <c r="U38" s="400"/>
      <c r="V38" s="400"/>
      <c r="W38" s="400"/>
      <c r="X38" s="400"/>
      <c r="Y38" s="400"/>
      <c r="Z38" s="400"/>
      <c r="AA38" s="400"/>
      <c r="AB38" s="400"/>
      <c r="AC38" s="400"/>
      <c r="AD38" s="400"/>
      <c r="AE38" s="400"/>
      <c r="AF38" s="400"/>
      <c r="AG38" s="400"/>
      <c r="AH38" s="400"/>
      <c r="AI38" s="400"/>
      <c r="AJ38" s="400"/>
      <c r="AK38" s="400"/>
      <c r="AL38" s="400"/>
      <c r="AM38" s="400"/>
      <c r="AN38" s="400"/>
      <c r="AO38" s="400"/>
      <c r="AP38" s="400"/>
      <c r="AQ38" s="400"/>
    </row>
    <row r="39" spans="1:43" s="65" customFormat="1" ht="15" customHeight="1" x14ac:dyDescent="0.25">
      <c r="A39" s="400" t="s">
        <v>59</v>
      </c>
      <c r="B39" s="400"/>
      <c r="C39" s="400"/>
      <c r="D39" s="400"/>
      <c r="E39" s="400">
        <v>3110</v>
      </c>
      <c r="F39" s="400"/>
      <c r="G39" s="400"/>
      <c r="H39" s="400"/>
      <c r="I39" s="400"/>
      <c r="J39" s="400"/>
      <c r="K39" s="400"/>
      <c r="L39" s="400"/>
      <c r="M39" s="400"/>
      <c r="N39" s="400"/>
      <c r="O39" s="400"/>
      <c r="P39" s="400"/>
      <c r="Q39" s="400"/>
      <c r="R39" s="400"/>
      <c r="S39" s="400"/>
      <c r="T39" s="400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400"/>
      <c r="AI39" s="400"/>
      <c r="AJ39" s="400"/>
      <c r="AK39" s="400"/>
      <c r="AL39" s="400"/>
      <c r="AM39" s="400"/>
      <c r="AN39" s="400"/>
      <c r="AO39" s="400"/>
      <c r="AP39" s="400"/>
      <c r="AQ39" s="400"/>
    </row>
    <row r="40" spans="1:43" s="65" customFormat="1" ht="41.25" customHeight="1" x14ac:dyDescent="0.25">
      <c r="A40" s="400" t="s">
        <v>262</v>
      </c>
      <c r="B40" s="400"/>
      <c r="C40" s="400"/>
      <c r="D40" s="400"/>
      <c r="E40" s="400"/>
      <c r="F40" s="400"/>
      <c r="G40" s="400"/>
      <c r="H40" s="400"/>
      <c r="I40" s="400"/>
      <c r="J40" s="400"/>
      <c r="K40" s="400"/>
      <c r="L40" s="400"/>
      <c r="M40" s="400"/>
      <c r="N40" s="400"/>
      <c r="O40" s="400"/>
      <c r="P40" s="400"/>
      <c r="Q40" s="400"/>
      <c r="R40" s="400"/>
      <c r="S40" s="400"/>
      <c r="T40" s="400"/>
      <c r="U40" s="400"/>
      <c r="V40" s="400"/>
      <c r="W40" s="400"/>
      <c r="X40" s="400"/>
      <c r="Y40" s="400"/>
      <c r="Z40" s="400"/>
      <c r="AA40" s="400"/>
      <c r="AB40" s="400"/>
      <c r="AC40" s="400"/>
      <c r="AD40" s="400"/>
      <c r="AE40" s="400"/>
      <c r="AF40" s="400"/>
      <c r="AG40" s="400"/>
      <c r="AH40" s="400"/>
      <c r="AI40" s="400"/>
      <c r="AJ40" s="400"/>
      <c r="AK40" s="400"/>
      <c r="AL40" s="400"/>
      <c r="AM40" s="400"/>
      <c r="AN40" s="400"/>
      <c r="AO40" s="400"/>
      <c r="AP40" s="400"/>
      <c r="AQ40" s="400"/>
    </row>
    <row r="41" spans="1:43" s="65" customFormat="1" ht="12.75" x14ac:dyDescent="0.25">
      <c r="A41" s="478"/>
      <c r="B41" s="478"/>
      <c r="C41" s="478"/>
      <c r="D41" s="478"/>
      <c r="E41" s="61"/>
      <c r="F41" s="66"/>
      <c r="G41" s="66"/>
      <c r="H41" s="66"/>
      <c r="I41" s="66"/>
      <c r="J41" s="66"/>
      <c r="K41" s="66"/>
      <c r="L41" s="66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</row>
    <row r="42" spans="1:43" s="65" customFormat="1" ht="12.75" x14ac:dyDescent="0.25">
      <c r="A42" s="400" t="s">
        <v>189</v>
      </c>
      <c r="B42" s="400"/>
      <c r="C42" s="400"/>
      <c r="D42" s="400"/>
      <c r="E42" s="61">
        <v>3200</v>
      </c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</row>
    <row r="43" spans="1:43" s="163" customFormat="1" ht="12.75" x14ac:dyDescent="0.25">
      <c r="A43" s="400" t="s">
        <v>192</v>
      </c>
      <c r="B43" s="400"/>
      <c r="C43" s="400"/>
      <c r="D43" s="400"/>
      <c r="E43" s="155">
        <v>4000</v>
      </c>
      <c r="F43" s="155"/>
      <c r="G43" s="155"/>
      <c r="H43" s="155"/>
      <c r="I43" s="155"/>
      <c r="J43" s="167">
        <f>J44+J50</f>
        <v>584943</v>
      </c>
      <c r="K43" s="167">
        <f>K44+K50</f>
        <v>470000</v>
      </c>
      <c r="L43" s="155"/>
      <c r="M43" s="167">
        <f>J43</f>
        <v>584943</v>
      </c>
      <c r="N43" s="167">
        <f>M43</f>
        <v>584943</v>
      </c>
      <c r="O43" s="155"/>
      <c r="P43" s="155"/>
      <c r="Q43" s="155"/>
      <c r="R43" s="155"/>
      <c r="S43" s="155"/>
      <c r="T43" s="155"/>
      <c r="U43" s="165">
        <f>U44+U50</f>
        <v>1</v>
      </c>
      <c r="V43" s="166">
        <f>V44+V50</f>
        <v>584943</v>
      </c>
      <c r="W43" s="165">
        <f t="shared" ref="W43:AF43" si="2">W44+W50</f>
        <v>0</v>
      </c>
      <c r="X43" s="166">
        <f t="shared" si="2"/>
        <v>0</v>
      </c>
      <c r="Y43" s="165">
        <f t="shared" si="2"/>
        <v>0</v>
      </c>
      <c r="Z43" s="166">
        <f t="shared" si="2"/>
        <v>0</v>
      </c>
      <c r="AA43" s="165">
        <f t="shared" si="2"/>
        <v>0</v>
      </c>
      <c r="AB43" s="166">
        <f t="shared" si="2"/>
        <v>0</v>
      </c>
      <c r="AC43" s="165">
        <f t="shared" si="2"/>
        <v>0</v>
      </c>
      <c r="AD43" s="166">
        <f t="shared" si="2"/>
        <v>0</v>
      </c>
      <c r="AE43" s="165">
        <f t="shared" si="2"/>
        <v>0</v>
      </c>
      <c r="AF43" s="166">
        <f t="shared" si="2"/>
        <v>0</v>
      </c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</row>
    <row r="44" spans="1:43" s="163" customFormat="1" ht="12.75" x14ac:dyDescent="0.25">
      <c r="A44" s="400" t="s">
        <v>54</v>
      </c>
      <c r="B44" s="400"/>
      <c r="C44" s="400"/>
      <c r="D44" s="400"/>
      <c r="E44" s="400">
        <v>4100</v>
      </c>
      <c r="F44" s="400"/>
      <c r="G44" s="400"/>
      <c r="H44" s="400"/>
      <c r="I44" s="400"/>
      <c r="J44" s="505">
        <f>J46</f>
        <v>584943</v>
      </c>
      <c r="K44" s="505">
        <f>K46</f>
        <v>470000</v>
      </c>
      <c r="L44" s="400"/>
      <c r="M44" s="505">
        <f>J44</f>
        <v>584943</v>
      </c>
      <c r="N44" s="505">
        <f>M44</f>
        <v>584943</v>
      </c>
      <c r="O44" s="400"/>
      <c r="P44" s="400"/>
      <c r="Q44" s="400"/>
      <c r="R44" s="400"/>
      <c r="S44" s="400"/>
      <c r="T44" s="400"/>
      <c r="U44" s="503">
        <f>U46</f>
        <v>1</v>
      </c>
      <c r="V44" s="504">
        <f>V46</f>
        <v>584943</v>
      </c>
      <c r="W44" s="503">
        <f t="shared" ref="W44:AF44" si="3">W46</f>
        <v>0</v>
      </c>
      <c r="X44" s="504">
        <f t="shared" si="3"/>
        <v>0</v>
      </c>
      <c r="Y44" s="503">
        <f t="shared" si="3"/>
        <v>0</v>
      </c>
      <c r="Z44" s="504">
        <f t="shared" si="3"/>
        <v>0</v>
      </c>
      <c r="AA44" s="503">
        <f t="shared" si="3"/>
        <v>0</v>
      </c>
      <c r="AB44" s="504">
        <f t="shared" si="3"/>
        <v>0</v>
      </c>
      <c r="AC44" s="503">
        <f t="shared" si="3"/>
        <v>0</v>
      </c>
      <c r="AD44" s="504">
        <f t="shared" si="3"/>
        <v>0</v>
      </c>
      <c r="AE44" s="503">
        <f t="shared" si="3"/>
        <v>0</v>
      </c>
      <c r="AF44" s="504">
        <f t="shared" si="3"/>
        <v>0</v>
      </c>
      <c r="AG44" s="400"/>
      <c r="AH44" s="400"/>
      <c r="AI44" s="400"/>
      <c r="AJ44" s="400"/>
      <c r="AK44" s="400"/>
      <c r="AL44" s="400"/>
      <c r="AM44" s="400"/>
      <c r="AN44" s="400"/>
      <c r="AO44" s="400"/>
      <c r="AP44" s="400"/>
      <c r="AQ44" s="400"/>
    </row>
    <row r="45" spans="1:43" s="163" customFormat="1" ht="18.600000000000001" customHeight="1" x14ac:dyDescent="0.25">
      <c r="A45" s="400" t="s">
        <v>188</v>
      </c>
      <c r="B45" s="400"/>
      <c r="C45" s="400"/>
      <c r="D45" s="400"/>
      <c r="E45" s="400"/>
      <c r="F45" s="400"/>
      <c r="G45" s="400"/>
      <c r="H45" s="400"/>
      <c r="I45" s="400"/>
      <c r="J45" s="400"/>
      <c r="K45" s="400"/>
      <c r="L45" s="400"/>
      <c r="M45" s="400"/>
      <c r="N45" s="400"/>
      <c r="O45" s="400"/>
      <c r="P45" s="400"/>
      <c r="Q45" s="400"/>
      <c r="R45" s="400"/>
      <c r="S45" s="400"/>
      <c r="T45" s="400"/>
      <c r="U45" s="400"/>
      <c r="V45" s="400"/>
      <c r="W45" s="400"/>
      <c r="X45" s="400"/>
      <c r="Y45" s="400"/>
      <c r="Z45" s="400"/>
      <c r="AA45" s="400"/>
      <c r="AB45" s="400"/>
      <c r="AC45" s="400"/>
      <c r="AD45" s="400"/>
      <c r="AE45" s="400"/>
      <c r="AF45" s="400"/>
      <c r="AG45" s="400"/>
      <c r="AH45" s="400"/>
      <c r="AI45" s="400"/>
      <c r="AJ45" s="400"/>
      <c r="AK45" s="400"/>
      <c r="AL45" s="400"/>
      <c r="AM45" s="400"/>
      <c r="AN45" s="400"/>
      <c r="AO45" s="400"/>
      <c r="AP45" s="400"/>
      <c r="AQ45" s="400"/>
    </row>
    <row r="46" spans="1:43" s="163" customFormat="1" ht="18" customHeight="1" x14ac:dyDescent="0.25">
      <c r="A46" s="400" t="s">
        <v>59</v>
      </c>
      <c r="B46" s="400"/>
      <c r="C46" s="400"/>
      <c r="D46" s="400"/>
      <c r="E46" s="400">
        <v>4110</v>
      </c>
      <c r="F46" s="400"/>
      <c r="G46" s="400"/>
      <c r="H46" s="400"/>
      <c r="I46" s="400"/>
      <c r="J46" s="505">
        <f>J48+J49</f>
        <v>584943</v>
      </c>
      <c r="K46" s="505">
        <f>K48+K49</f>
        <v>470000</v>
      </c>
      <c r="L46" s="400"/>
      <c r="M46" s="505">
        <f>J46</f>
        <v>584943</v>
      </c>
      <c r="N46" s="505">
        <f>J46</f>
        <v>584943</v>
      </c>
      <c r="O46" s="400"/>
      <c r="P46" s="400"/>
      <c r="Q46" s="400"/>
      <c r="R46" s="400"/>
      <c r="S46" s="400"/>
      <c r="T46" s="400"/>
      <c r="U46" s="503">
        <f>U48</f>
        <v>1</v>
      </c>
      <c r="V46" s="504">
        <f>V48+V49</f>
        <v>584943</v>
      </c>
      <c r="W46" s="503">
        <f t="shared" ref="W46:AF46" si="4">W48</f>
        <v>0</v>
      </c>
      <c r="X46" s="504">
        <f t="shared" si="4"/>
        <v>0</v>
      </c>
      <c r="Y46" s="503">
        <f t="shared" si="4"/>
        <v>0</v>
      </c>
      <c r="Z46" s="504">
        <f t="shared" si="4"/>
        <v>0</v>
      </c>
      <c r="AA46" s="503">
        <f t="shared" si="4"/>
        <v>0</v>
      </c>
      <c r="AB46" s="504">
        <f t="shared" si="4"/>
        <v>0</v>
      </c>
      <c r="AC46" s="503">
        <f t="shared" si="4"/>
        <v>0</v>
      </c>
      <c r="AD46" s="504">
        <f t="shared" si="4"/>
        <v>0</v>
      </c>
      <c r="AE46" s="503">
        <f t="shared" si="4"/>
        <v>0</v>
      </c>
      <c r="AF46" s="504">
        <f t="shared" si="4"/>
        <v>0</v>
      </c>
      <c r="AG46" s="400"/>
      <c r="AH46" s="400"/>
      <c r="AI46" s="400"/>
      <c r="AJ46" s="400"/>
      <c r="AK46" s="400"/>
      <c r="AL46" s="400"/>
      <c r="AM46" s="400"/>
      <c r="AN46" s="400"/>
      <c r="AO46" s="400"/>
      <c r="AP46" s="400"/>
      <c r="AQ46" s="400"/>
    </row>
    <row r="47" spans="1:43" s="163" customFormat="1" ht="48" customHeight="1" x14ac:dyDescent="0.25">
      <c r="A47" s="400" t="s">
        <v>262</v>
      </c>
      <c r="B47" s="400"/>
      <c r="C47" s="400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400"/>
      <c r="R47" s="400"/>
      <c r="S47" s="400"/>
      <c r="T47" s="400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400"/>
      <c r="AI47" s="400"/>
      <c r="AJ47" s="400"/>
      <c r="AK47" s="400"/>
      <c r="AL47" s="400"/>
      <c r="AM47" s="400"/>
      <c r="AN47" s="400"/>
      <c r="AO47" s="400"/>
      <c r="AP47" s="400"/>
      <c r="AQ47" s="400"/>
    </row>
    <row r="48" spans="1:43" s="163" customFormat="1" ht="63.75" x14ac:dyDescent="0.25">
      <c r="A48" s="478" t="s">
        <v>527</v>
      </c>
      <c r="B48" s="478"/>
      <c r="C48" s="478"/>
      <c r="D48" s="478"/>
      <c r="E48" s="155">
        <v>4111</v>
      </c>
      <c r="F48" s="155" t="s">
        <v>946</v>
      </c>
      <c r="G48" s="160" t="s">
        <v>948</v>
      </c>
      <c r="H48" s="37" t="s">
        <v>528</v>
      </c>
      <c r="I48" s="160">
        <v>2011</v>
      </c>
      <c r="J48" s="12">
        <v>114943</v>
      </c>
      <c r="K48" s="12">
        <v>0</v>
      </c>
      <c r="L48" s="155" t="s">
        <v>949</v>
      </c>
      <c r="M48" s="167">
        <f>J48</f>
        <v>114943</v>
      </c>
      <c r="N48" s="167">
        <f>M48</f>
        <v>114943</v>
      </c>
      <c r="O48" s="155"/>
      <c r="P48" s="155"/>
      <c r="Q48" s="155"/>
      <c r="R48" s="155"/>
      <c r="S48" s="155"/>
      <c r="T48" s="155"/>
      <c r="U48" s="42">
        <v>1</v>
      </c>
      <c r="V48" s="43">
        <v>114943</v>
      </c>
      <c r="W48" s="42">
        <v>0</v>
      </c>
      <c r="X48" s="43">
        <v>0</v>
      </c>
      <c r="Y48" s="42">
        <v>0</v>
      </c>
      <c r="Z48" s="43">
        <v>0</v>
      </c>
      <c r="AA48" s="42">
        <v>0</v>
      </c>
      <c r="AB48" s="43">
        <v>0</v>
      </c>
      <c r="AC48" s="42">
        <v>0</v>
      </c>
      <c r="AD48" s="43">
        <v>0</v>
      </c>
      <c r="AE48" s="42">
        <v>0</v>
      </c>
      <c r="AF48" s="43">
        <v>0</v>
      </c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</row>
    <row r="49" spans="1:43" s="365" customFormat="1" ht="38.25" x14ac:dyDescent="0.25">
      <c r="A49" s="506" t="s">
        <v>1420</v>
      </c>
      <c r="B49" s="507"/>
      <c r="C49" s="507"/>
      <c r="D49" s="425"/>
      <c r="E49" s="363">
        <v>4112</v>
      </c>
      <c r="F49" s="363" t="s">
        <v>946</v>
      </c>
      <c r="G49" s="364"/>
      <c r="H49" s="367" t="s">
        <v>1421</v>
      </c>
      <c r="I49" s="364">
        <v>2024</v>
      </c>
      <c r="J49" s="12">
        <v>470000</v>
      </c>
      <c r="K49" s="12">
        <v>470000</v>
      </c>
      <c r="L49" s="363"/>
      <c r="M49" s="366">
        <f>J49</f>
        <v>470000</v>
      </c>
      <c r="N49" s="366">
        <f>M49</f>
        <v>470000</v>
      </c>
      <c r="O49" s="363"/>
      <c r="P49" s="363"/>
      <c r="Q49" s="363"/>
      <c r="R49" s="363"/>
      <c r="S49" s="363"/>
      <c r="T49" s="363"/>
      <c r="U49" s="42">
        <v>1</v>
      </c>
      <c r="V49" s="43">
        <v>470000</v>
      </c>
      <c r="W49" s="42">
        <v>0</v>
      </c>
      <c r="X49" s="43">
        <v>0</v>
      </c>
      <c r="Y49" s="42">
        <v>0</v>
      </c>
      <c r="Z49" s="43">
        <v>0</v>
      </c>
      <c r="AA49" s="42">
        <v>0</v>
      </c>
      <c r="AB49" s="43">
        <v>0</v>
      </c>
      <c r="AC49" s="42">
        <v>0</v>
      </c>
      <c r="AD49" s="43">
        <v>0</v>
      </c>
      <c r="AE49" s="42">
        <v>0</v>
      </c>
      <c r="AF49" s="43">
        <v>0</v>
      </c>
      <c r="AG49" s="363"/>
      <c r="AH49" s="363"/>
      <c r="AI49" s="363"/>
      <c r="AJ49" s="363"/>
      <c r="AK49" s="363"/>
      <c r="AL49" s="363"/>
      <c r="AM49" s="363"/>
      <c r="AN49" s="363"/>
      <c r="AO49" s="363"/>
      <c r="AP49" s="363"/>
      <c r="AQ49" s="363"/>
    </row>
    <row r="50" spans="1:43" s="163" customFormat="1" ht="12.75" x14ac:dyDescent="0.25">
      <c r="A50" s="400" t="s">
        <v>189</v>
      </c>
      <c r="B50" s="400"/>
      <c r="C50" s="400"/>
      <c r="D50" s="400"/>
      <c r="E50" s="155">
        <v>4200</v>
      </c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</row>
    <row r="51" spans="1:43" s="163" customFormat="1" ht="12.75" x14ac:dyDescent="0.25">
      <c r="A51" s="400" t="s">
        <v>20</v>
      </c>
      <c r="B51" s="400"/>
      <c r="C51" s="400"/>
      <c r="D51" s="400"/>
      <c r="E51" s="155">
        <v>9000</v>
      </c>
      <c r="F51" s="155"/>
      <c r="G51" s="155"/>
      <c r="H51" s="155"/>
      <c r="I51" s="155"/>
      <c r="J51" s="167">
        <f>J19+J26+J36+J43</f>
        <v>3858878</v>
      </c>
      <c r="K51" s="167">
        <f>K19+K26+K36+K43</f>
        <v>3618814</v>
      </c>
      <c r="L51" s="155"/>
      <c r="M51" s="167">
        <f>J51</f>
        <v>3858878</v>
      </c>
      <c r="N51" s="167">
        <f>J51</f>
        <v>3858878</v>
      </c>
      <c r="O51" s="155"/>
      <c r="P51" s="155"/>
      <c r="Q51" s="155"/>
      <c r="R51" s="155"/>
      <c r="S51" s="155"/>
      <c r="T51" s="155"/>
      <c r="U51" s="165">
        <f t="shared" ref="U51:AF51" si="5">U19+U26+U36+U43</f>
        <v>2</v>
      </c>
      <c r="V51" s="166">
        <f>V19+V26+V36+V43</f>
        <v>710064</v>
      </c>
      <c r="W51" s="165">
        <f t="shared" si="5"/>
        <v>0</v>
      </c>
      <c r="X51" s="166">
        <f t="shared" si="5"/>
        <v>3148814</v>
      </c>
      <c r="Y51" s="165">
        <f t="shared" si="5"/>
        <v>0</v>
      </c>
      <c r="Z51" s="166">
        <f t="shared" si="5"/>
        <v>0</v>
      </c>
      <c r="AA51" s="165">
        <f t="shared" si="5"/>
        <v>0</v>
      </c>
      <c r="AB51" s="166">
        <f t="shared" si="5"/>
        <v>0</v>
      </c>
      <c r="AC51" s="165">
        <f t="shared" si="5"/>
        <v>0</v>
      </c>
      <c r="AD51" s="166">
        <f t="shared" si="5"/>
        <v>0</v>
      </c>
      <c r="AE51" s="165">
        <f t="shared" si="5"/>
        <v>0</v>
      </c>
      <c r="AF51" s="166">
        <f t="shared" si="5"/>
        <v>0</v>
      </c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</row>
    <row r="52" spans="1:43" s="69" customFormat="1" ht="31.5" customHeight="1" x14ac:dyDescent="0.25">
      <c r="A52" s="41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</row>
    <row r="53" spans="1:43" s="69" customFormat="1" x14ac:dyDescent="0.25">
      <c r="D53" s="65"/>
    </row>
  </sheetData>
  <mergeCells count="396">
    <mergeCell ref="O16:O17"/>
    <mergeCell ref="P16:Q16"/>
    <mergeCell ref="R16:R17"/>
    <mergeCell ref="S16:T16"/>
    <mergeCell ref="A18:D18"/>
    <mergeCell ref="A19:D19"/>
    <mergeCell ref="I13:I17"/>
    <mergeCell ref="J13:J17"/>
    <mergeCell ref="K13:K17"/>
    <mergeCell ref="L13:L17"/>
    <mergeCell ref="M13:T13"/>
    <mergeCell ref="M14:M17"/>
    <mergeCell ref="N14:T14"/>
    <mergeCell ref="N15:N17"/>
    <mergeCell ref="O15:Q15"/>
    <mergeCell ref="R15:T15"/>
    <mergeCell ref="A13:D17"/>
    <mergeCell ref="E13:E17"/>
    <mergeCell ref="F13:F17"/>
    <mergeCell ref="G13:G17"/>
    <mergeCell ref="H13:H17"/>
    <mergeCell ref="P20:P21"/>
    <mergeCell ref="Q20:Q21"/>
    <mergeCell ref="R20:R21"/>
    <mergeCell ref="S20:S21"/>
    <mergeCell ref="T20:T21"/>
    <mergeCell ref="A21:D21"/>
    <mergeCell ref="J20:J21"/>
    <mergeCell ref="K20:K21"/>
    <mergeCell ref="L20:L21"/>
    <mergeCell ref="M20:M21"/>
    <mergeCell ref="N20:N21"/>
    <mergeCell ref="O20:O21"/>
    <mergeCell ref="A20:D20"/>
    <mergeCell ref="E20:E21"/>
    <mergeCell ref="F20:F21"/>
    <mergeCell ref="G20:G21"/>
    <mergeCell ref="H20:H21"/>
    <mergeCell ref="I20:I21"/>
    <mergeCell ref="S22:S23"/>
    <mergeCell ref="T22:T23"/>
    <mergeCell ref="A23:D23"/>
    <mergeCell ref="J22:J23"/>
    <mergeCell ref="K22:K23"/>
    <mergeCell ref="L22:L23"/>
    <mergeCell ref="M22:M23"/>
    <mergeCell ref="N22:N23"/>
    <mergeCell ref="O22:O23"/>
    <mergeCell ref="A22:D22"/>
    <mergeCell ref="E22:E23"/>
    <mergeCell ref="F22:F23"/>
    <mergeCell ref="G22:G23"/>
    <mergeCell ref="H22:H23"/>
    <mergeCell ref="I22:I23"/>
    <mergeCell ref="A24:D24"/>
    <mergeCell ref="A25:D25"/>
    <mergeCell ref="A26:D26"/>
    <mergeCell ref="A27:D27"/>
    <mergeCell ref="E27:E28"/>
    <mergeCell ref="F27:F28"/>
    <mergeCell ref="P22:P23"/>
    <mergeCell ref="Q22:Q23"/>
    <mergeCell ref="R22:R23"/>
    <mergeCell ref="S27:S28"/>
    <mergeCell ref="T27:T28"/>
    <mergeCell ref="A28:D28"/>
    <mergeCell ref="A29:D29"/>
    <mergeCell ref="E29:E30"/>
    <mergeCell ref="F29:F30"/>
    <mergeCell ref="G29:G30"/>
    <mergeCell ref="H29:H30"/>
    <mergeCell ref="I29:I30"/>
    <mergeCell ref="J29:J30"/>
    <mergeCell ref="M27:M28"/>
    <mergeCell ref="N27:N28"/>
    <mergeCell ref="O27:O28"/>
    <mergeCell ref="P27:P28"/>
    <mergeCell ref="Q27:Q28"/>
    <mergeCell ref="R27:R28"/>
    <mergeCell ref="G27:G28"/>
    <mergeCell ref="H27:H28"/>
    <mergeCell ref="I27:I28"/>
    <mergeCell ref="J27:J28"/>
    <mergeCell ref="K27:K28"/>
    <mergeCell ref="L27:L28"/>
    <mergeCell ref="T29:T30"/>
    <mergeCell ref="A30:D30"/>
    <mergeCell ref="Q29:Q30"/>
    <mergeCell ref="R29:R30"/>
    <mergeCell ref="S29:S30"/>
    <mergeCell ref="T37:T38"/>
    <mergeCell ref="A38:D38"/>
    <mergeCell ref="O37:O38"/>
    <mergeCell ref="P37:P38"/>
    <mergeCell ref="Q37:Q38"/>
    <mergeCell ref="R37:R38"/>
    <mergeCell ref="S37:S38"/>
    <mergeCell ref="A31:D31"/>
    <mergeCell ref="K29:K30"/>
    <mergeCell ref="L29:L30"/>
    <mergeCell ref="M29:M30"/>
    <mergeCell ref="N29:N30"/>
    <mergeCell ref="O29:O30"/>
    <mergeCell ref="P29:P30"/>
    <mergeCell ref="A35:D35"/>
    <mergeCell ref="A36:D36"/>
    <mergeCell ref="N37:N38"/>
    <mergeCell ref="H37:H38"/>
    <mergeCell ref="I37:I38"/>
    <mergeCell ref="J37:J38"/>
    <mergeCell ref="K37:K38"/>
    <mergeCell ref="L37:L38"/>
    <mergeCell ref="M37:M38"/>
    <mergeCell ref="A37:D37"/>
    <mergeCell ref="E37:E38"/>
    <mergeCell ref="F37:F38"/>
    <mergeCell ref="G37:G38"/>
    <mergeCell ref="F44:F45"/>
    <mergeCell ref="G44:G45"/>
    <mergeCell ref="H44:H45"/>
    <mergeCell ref="A45:D45"/>
    <mergeCell ref="R39:R40"/>
    <mergeCell ref="S39:S40"/>
    <mergeCell ref="T39:T40"/>
    <mergeCell ref="A40:D40"/>
    <mergeCell ref="A41:D41"/>
    <mergeCell ref="A42:D42"/>
    <mergeCell ref="L39:L40"/>
    <mergeCell ref="M39:M40"/>
    <mergeCell ref="N39:N40"/>
    <mergeCell ref="O39:O40"/>
    <mergeCell ref="P39:P40"/>
    <mergeCell ref="Q39:Q40"/>
    <mergeCell ref="A39:D39"/>
    <mergeCell ref="E39:E40"/>
    <mergeCell ref="F39:F40"/>
    <mergeCell ref="G39:G40"/>
    <mergeCell ref="H39:H40"/>
    <mergeCell ref="I39:I40"/>
    <mergeCell ref="J39:J40"/>
    <mergeCell ref="K39:K40"/>
    <mergeCell ref="A51:D51"/>
    <mergeCell ref="P46:P47"/>
    <mergeCell ref="Q46:Q47"/>
    <mergeCell ref="R46:R47"/>
    <mergeCell ref="S46:S47"/>
    <mergeCell ref="T46:T47"/>
    <mergeCell ref="A47:D47"/>
    <mergeCell ref="J46:J47"/>
    <mergeCell ref="K46:K47"/>
    <mergeCell ref="L46:L47"/>
    <mergeCell ref="M46:M47"/>
    <mergeCell ref="N46:N47"/>
    <mergeCell ref="O46:O47"/>
    <mergeCell ref="A46:D46"/>
    <mergeCell ref="E46:E47"/>
    <mergeCell ref="F46:F47"/>
    <mergeCell ref="G46:G47"/>
    <mergeCell ref="H46:H47"/>
    <mergeCell ref="I46:I47"/>
    <mergeCell ref="A49:D49"/>
    <mergeCell ref="U13:AF13"/>
    <mergeCell ref="U14:V14"/>
    <mergeCell ref="W14:X14"/>
    <mergeCell ref="Y14:Z14"/>
    <mergeCell ref="AA14:AB14"/>
    <mergeCell ref="AC14:AD14"/>
    <mergeCell ref="AE14:AF14"/>
    <mergeCell ref="A48:D48"/>
    <mergeCell ref="A50:D50"/>
    <mergeCell ref="O44:O45"/>
    <mergeCell ref="P44:P45"/>
    <mergeCell ref="Q44:Q45"/>
    <mergeCell ref="R44:R45"/>
    <mergeCell ref="S44:S45"/>
    <mergeCell ref="T44:T45"/>
    <mergeCell ref="I44:I45"/>
    <mergeCell ref="J44:J45"/>
    <mergeCell ref="K44:K45"/>
    <mergeCell ref="L44:L45"/>
    <mergeCell ref="M44:M45"/>
    <mergeCell ref="N44:N45"/>
    <mergeCell ref="A43:D43"/>
    <mergeCell ref="A44:D44"/>
    <mergeCell ref="E44:E45"/>
    <mergeCell ref="AA20:AA21"/>
    <mergeCell ref="AB20:AB21"/>
    <mergeCell ref="AC20:AC21"/>
    <mergeCell ref="AD20:AD21"/>
    <mergeCell ref="AE20:AE21"/>
    <mergeCell ref="AF20:AF21"/>
    <mergeCell ref="U20:U21"/>
    <mergeCell ref="V20:V21"/>
    <mergeCell ref="W20:W21"/>
    <mergeCell ref="X20:X21"/>
    <mergeCell ref="Y20:Y21"/>
    <mergeCell ref="Z20:Z21"/>
    <mergeCell ref="AD27:AD28"/>
    <mergeCell ref="AE27:AE28"/>
    <mergeCell ref="AF27:AF28"/>
    <mergeCell ref="U27:U28"/>
    <mergeCell ref="V27:V28"/>
    <mergeCell ref="W27:W28"/>
    <mergeCell ref="X27:X28"/>
    <mergeCell ref="Y27:Y28"/>
    <mergeCell ref="Z27:Z28"/>
    <mergeCell ref="AD44:AD45"/>
    <mergeCell ref="AE44:AE45"/>
    <mergeCell ref="AF44:AF45"/>
    <mergeCell ref="U44:U45"/>
    <mergeCell ref="V44:V45"/>
    <mergeCell ref="W44:W45"/>
    <mergeCell ref="X44:X45"/>
    <mergeCell ref="Y44:Y45"/>
    <mergeCell ref="Z44:Z45"/>
    <mergeCell ref="U22:U23"/>
    <mergeCell ref="V22:V23"/>
    <mergeCell ref="W22:W23"/>
    <mergeCell ref="X22:X23"/>
    <mergeCell ref="Y22:Y23"/>
    <mergeCell ref="Z22:Z23"/>
    <mergeCell ref="AA44:AA45"/>
    <mergeCell ref="AB44:AB45"/>
    <mergeCell ref="AC44:AC45"/>
    <mergeCell ref="Z37:Z38"/>
    <mergeCell ref="AA27:AA28"/>
    <mergeCell ref="AB27:AB28"/>
    <mergeCell ref="AC27:AC28"/>
    <mergeCell ref="Z39:Z40"/>
    <mergeCell ref="AA29:AA30"/>
    <mergeCell ref="AB29:AB30"/>
    <mergeCell ref="AC29:AC30"/>
    <mergeCell ref="AA37:AA38"/>
    <mergeCell ref="AB37:AB38"/>
    <mergeCell ref="AC37:AC38"/>
    <mergeCell ref="AA39:AA40"/>
    <mergeCell ref="AB39:AB40"/>
    <mergeCell ref="AC39:AC40"/>
    <mergeCell ref="AD29:AD30"/>
    <mergeCell ref="AE29:AE30"/>
    <mergeCell ref="AF29:AF30"/>
    <mergeCell ref="U29:U30"/>
    <mergeCell ref="V29:V30"/>
    <mergeCell ref="W29:W30"/>
    <mergeCell ref="X29:X30"/>
    <mergeCell ref="Y29:Y30"/>
    <mergeCell ref="Z29:Z30"/>
    <mergeCell ref="AD37:AD38"/>
    <mergeCell ref="AE37:AE38"/>
    <mergeCell ref="AF37:AF38"/>
    <mergeCell ref="U37:U38"/>
    <mergeCell ref="V37:V38"/>
    <mergeCell ref="W37:W38"/>
    <mergeCell ref="X37:X38"/>
    <mergeCell ref="Y37:Y38"/>
    <mergeCell ref="AG13:AQ13"/>
    <mergeCell ref="AL20:AL21"/>
    <mergeCell ref="AM20:AM21"/>
    <mergeCell ref="AN20:AN21"/>
    <mergeCell ref="AO20:AO21"/>
    <mergeCell ref="AP20:AP21"/>
    <mergeCell ref="AQ20:AQ21"/>
    <mergeCell ref="AG20:AG21"/>
    <mergeCell ref="AH20:AH21"/>
    <mergeCell ref="AI20:AI21"/>
    <mergeCell ref="AJ20:AJ21"/>
    <mergeCell ref="AK20:AK21"/>
    <mergeCell ref="AM22:AM23"/>
    <mergeCell ref="AN22:AN23"/>
    <mergeCell ref="AO22:AO23"/>
    <mergeCell ref="AP22:AP23"/>
    <mergeCell ref="AA46:AA47"/>
    <mergeCell ref="AB46:AB47"/>
    <mergeCell ref="AC46:AC47"/>
    <mergeCell ref="AD46:AD47"/>
    <mergeCell ref="AE46:AE47"/>
    <mergeCell ref="AF46:AF47"/>
    <mergeCell ref="U46:U47"/>
    <mergeCell ref="V46:V47"/>
    <mergeCell ref="W46:W47"/>
    <mergeCell ref="X46:X47"/>
    <mergeCell ref="Y46:Y47"/>
    <mergeCell ref="Z46:Z47"/>
    <mergeCell ref="AD39:AD40"/>
    <mergeCell ref="AE39:AE40"/>
    <mergeCell ref="AF39:AF40"/>
    <mergeCell ref="U39:U40"/>
    <mergeCell ref="V39:V40"/>
    <mergeCell ref="W39:W40"/>
    <mergeCell ref="X39:X40"/>
    <mergeCell ref="Y39:Y40"/>
    <mergeCell ref="AH39:AH40"/>
    <mergeCell ref="AG39:AG40"/>
    <mergeCell ref="AI39:AI40"/>
    <mergeCell ref="AJ39:AJ40"/>
    <mergeCell ref="AK39:AK40"/>
    <mergeCell ref="AL39:AL40"/>
    <mergeCell ref="AM39:AM40"/>
    <mergeCell ref="AN39:AN40"/>
    <mergeCell ref="AO39:AO40"/>
    <mergeCell ref="AQ46:AQ47"/>
    <mergeCell ref="AK46:AK47"/>
    <mergeCell ref="AL46:AL47"/>
    <mergeCell ref="AM46:AM47"/>
    <mergeCell ref="AN46:AN47"/>
    <mergeCell ref="AO46:AO47"/>
    <mergeCell ref="AP46:AP47"/>
    <mergeCell ref="AP39:AP40"/>
    <mergeCell ref="AQ39:AQ40"/>
    <mergeCell ref="AO44:AO45"/>
    <mergeCell ref="AP44:AP45"/>
    <mergeCell ref="AQ44:AQ45"/>
    <mergeCell ref="AM44:AM45"/>
    <mergeCell ref="AN44:AN45"/>
    <mergeCell ref="AG27:AG28"/>
    <mergeCell ref="AH27:AH28"/>
    <mergeCell ref="AI27:AI28"/>
    <mergeCell ref="AJ27:AJ28"/>
    <mergeCell ref="AK27:AK28"/>
    <mergeCell ref="AG22:AG23"/>
    <mergeCell ref="AH22:AH23"/>
    <mergeCell ref="AI22:AI23"/>
    <mergeCell ref="AJ22:AJ23"/>
    <mergeCell ref="AK22:AK23"/>
    <mergeCell ref="AQ37:AQ38"/>
    <mergeCell ref="AL37:AL38"/>
    <mergeCell ref="AM37:AM38"/>
    <mergeCell ref="AN37:AN38"/>
    <mergeCell ref="AO37:AO38"/>
    <mergeCell ref="AP37:AP38"/>
    <mergeCell ref="AL27:AL28"/>
    <mergeCell ref="AM27:AM28"/>
    <mergeCell ref="AN27:AN28"/>
    <mergeCell ref="AO27:AO28"/>
    <mergeCell ref="AP27:AP28"/>
    <mergeCell ref="AQ27:AQ28"/>
    <mergeCell ref="AG44:AG45"/>
    <mergeCell ref="AH44:AH45"/>
    <mergeCell ref="AI44:AI45"/>
    <mergeCell ref="AJ44:AJ45"/>
    <mergeCell ref="AK44:AK45"/>
    <mergeCell ref="AL44:AL45"/>
    <mergeCell ref="AG46:AG47"/>
    <mergeCell ref="AH46:AH47"/>
    <mergeCell ref="AI46:AI47"/>
    <mergeCell ref="AJ46:AJ47"/>
    <mergeCell ref="AP14:AP17"/>
    <mergeCell ref="AQ14:AQ17"/>
    <mergeCell ref="AJ14:AJ17"/>
    <mergeCell ref="AK14:AK17"/>
    <mergeCell ref="AL14:AL17"/>
    <mergeCell ref="AM14:AM17"/>
    <mergeCell ref="AN14:AN17"/>
    <mergeCell ref="AO14:AO17"/>
    <mergeCell ref="AM29:AM30"/>
    <mergeCell ref="AN29:AN30"/>
    <mergeCell ref="AO29:AO30"/>
    <mergeCell ref="AP29:AP30"/>
    <mergeCell ref="AQ29:AQ30"/>
    <mergeCell ref="AL29:AL30"/>
    <mergeCell ref="AQ22:AQ23"/>
    <mergeCell ref="AL22:AL23"/>
    <mergeCell ref="AG37:AG38"/>
    <mergeCell ref="AH37:AH38"/>
    <mergeCell ref="AI37:AI38"/>
    <mergeCell ref="AJ37:AJ38"/>
    <mergeCell ref="AK37:AK38"/>
    <mergeCell ref="AG29:AG30"/>
    <mergeCell ref="AH29:AH30"/>
    <mergeCell ref="AI29:AI30"/>
    <mergeCell ref="AJ29:AJ30"/>
    <mergeCell ref="AK29:AK30"/>
    <mergeCell ref="A32:D32"/>
    <mergeCell ref="A33:D33"/>
    <mergeCell ref="A34:D34"/>
    <mergeCell ref="AD15:AD17"/>
    <mergeCell ref="AE15:AE17"/>
    <mergeCell ref="AF15:AF17"/>
    <mergeCell ref="AG14:AG17"/>
    <mergeCell ref="AH14:AH17"/>
    <mergeCell ref="AI14:AI17"/>
    <mergeCell ref="U15:U17"/>
    <mergeCell ref="V15:V17"/>
    <mergeCell ref="W15:W17"/>
    <mergeCell ref="X15:X17"/>
    <mergeCell ref="Y15:Y17"/>
    <mergeCell ref="Z15:Z17"/>
    <mergeCell ref="AA15:AA17"/>
    <mergeCell ref="AB15:AB17"/>
    <mergeCell ref="AC15:AC17"/>
    <mergeCell ref="AA22:AA23"/>
    <mergeCell ref="AB22:AB23"/>
    <mergeCell ref="AC22:AC23"/>
    <mergeCell ref="AD22:AD23"/>
    <mergeCell ref="AE22:AE23"/>
    <mergeCell ref="AF22:AF23"/>
  </mergeCells>
  <pageMargins left="0.39370078740157483" right="0.39370078740157483" top="0.78740157480314965" bottom="0.39370078740157483" header="0.31496062992125984" footer="0.31496062992125984"/>
  <pageSetup paperSize="9" scale="78" firstPageNumber="12" fitToWidth="3" fitToHeight="200" orientation="landscape" useFirstPageNumber="1" r:id="rId1"/>
  <rowBreaks count="1" manualBreakCount="1">
    <brk id="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B37"/>
  <sheetViews>
    <sheetView view="pageBreakPreview" topLeftCell="A10" zoomScale="80" zoomScaleNormal="100" zoomScaleSheetLayoutView="80" workbookViewId="0">
      <selection activeCell="J41" sqref="J41"/>
    </sheetView>
  </sheetViews>
  <sheetFormatPr defaultColWidth="9.140625" defaultRowHeight="15" x14ac:dyDescent="0.25"/>
  <cols>
    <col min="1" max="1" width="9.28515625" style="53" bestFit="1" customWidth="1"/>
    <col min="2" max="2" width="6" style="53" customWidth="1"/>
    <col min="3" max="3" width="11.7109375" style="53" customWidth="1"/>
    <col min="4" max="4" width="7.7109375" style="53" customWidth="1"/>
    <col min="5" max="5" width="17.42578125" style="53" customWidth="1"/>
    <col min="6" max="6" width="9.28515625" style="53" bestFit="1" customWidth="1"/>
    <col min="7" max="7" width="11.85546875" style="53" bestFit="1" customWidth="1"/>
    <col min="8" max="8" width="10.85546875" style="53" bestFit="1" customWidth="1"/>
    <col min="9" max="9" width="12" style="53" customWidth="1"/>
    <col min="10" max="10" width="10.28515625" style="53" bestFit="1" customWidth="1"/>
    <col min="11" max="11" width="9.5703125" style="53" bestFit="1" customWidth="1"/>
    <col min="12" max="13" width="10.140625" style="53" bestFit="1" customWidth="1"/>
    <col min="14" max="14" width="12.85546875" style="53" bestFit="1" customWidth="1"/>
    <col min="15" max="15" width="10.5703125" style="53" bestFit="1" customWidth="1"/>
    <col min="16" max="16" width="9.28515625" style="53" bestFit="1" customWidth="1"/>
    <col min="17" max="17" width="11.85546875" style="53" bestFit="1" customWidth="1"/>
    <col min="18" max="18" width="9.28515625" style="53" bestFit="1" customWidth="1"/>
    <col min="19" max="19" width="9.140625" style="53" customWidth="1"/>
    <col min="20" max="21" width="9.28515625" style="53" bestFit="1" customWidth="1"/>
    <col min="22" max="22" width="12.5703125" style="53" bestFit="1" customWidth="1"/>
    <col min="23" max="23" width="9.28515625" style="53" bestFit="1" customWidth="1"/>
    <col min="24" max="24" width="11.5703125" style="53" bestFit="1" customWidth="1"/>
    <col min="25" max="28" width="9.28515625" style="53" bestFit="1" customWidth="1"/>
    <col min="29" max="16384" width="9.140625" style="53"/>
  </cols>
  <sheetData>
    <row r="1" spans="1:14" s="74" customFormat="1" ht="18.600000000000001" customHeight="1" x14ac:dyDescent="0.25">
      <c r="A1" s="402" t="s">
        <v>294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</row>
    <row r="2" spans="1:14" s="69" customFormat="1" ht="17.45" customHeight="1" x14ac:dyDescent="0.25">
      <c r="D2" s="65"/>
    </row>
    <row r="3" spans="1:14" s="69" customFormat="1" ht="18" customHeight="1" x14ac:dyDescent="0.25">
      <c r="A3" s="400" t="s">
        <v>40</v>
      </c>
      <c r="B3" s="400"/>
      <c r="C3" s="400"/>
      <c r="D3" s="400"/>
      <c r="E3" s="400" t="s">
        <v>9</v>
      </c>
      <c r="F3" s="400" t="s">
        <v>211</v>
      </c>
      <c r="G3" s="400" t="s">
        <v>212</v>
      </c>
      <c r="H3" s="400"/>
      <c r="I3" s="400"/>
      <c r="J3" s="400"/>
      <c r="K3" s="400"/>
      <c r="L3" s="400"/>
      <c r="M3" s="400"/>
      <c r="N3" s="400"/>
    </row>
    <row r="4" spans="1:14" s="69" customFormat="1" x14ac:dyDescent="0.25">
      <c r="A4" s="400"/>
      <c r="B4" s="400"/>
      <c r="C4" s="400"/>
      <c r="D4" s="400"/>
      <c r="E4" s="400"/>
      <c r="F4" s="400"/>
      <c r="G4" s="400" t="s">
        <v>54</v>
      </c>
      <c r="H4" s="400"/>
      <c r="I4" s="400"/>
      <c r="J4" s="400"/>
      <c r="K4" s="400"/>
      <c r="L4" s="400"/>
      <c r="M4" s="400"/>
      <c r="N4" s="400"/>
    </row>
    <row r="5" spans="1:14" s="69" customFormat="1" ht="15.6" customHeight="1" x14ac:dyDescent="0.25">
      <c r="A5" s="400"/>
      <c r="B5" s="400"/>
      <c r="C5" s="400"/>
      <c r="D5" s="400"/>
      <c r="E5" s="400"/>
      <c r="F5" s="400"/>
      <c r="G5" s="400" t="s">
        <v>213</v>
      </c>
      <c r="H5" s="400"/>
      <c r="I5" s="400"/>
      <c r="J5" s="400"/>
      <c r="K5" s="400" t="s">
        <v>428</v>
      </c>
      <c r="L5" s="400" t="s">
        <v>214</v>
      </c>
      <c r="M5" s="400" t="s">
        <v>429</v>
      </c>
      <c r="N5" s="400" t="s">
        <v>216</v>
      </c>
    </row>
    <row r="6" spans="1:14" s="69" customFormat="1" ht="102" x14ac:dyDescent="0.25">
      <c r="A6" s="400"/>
      <c r="B6" s="400"/>
      <c r="C6" s="400"/>
      <c r="D6" s="400"/>
      <c r="E6" s="400"/>
      <c r="F6" s="400"/>
      <c r="G6" s="61" t="s">
        <v>424</v>
      </c>
      <c r="H6" s="61" t="s">
        <v>425</v>
      </c>
      <c r="I6" s="61" t="s">
        <v>426</v>
      </c>
      <c r="J6" s="61" t="s">
        <v>427</v>
      </c>
      <c r="K6" s="400"/>
      <c r="L6" s="400"/>
      <c r="M6" s="400"/>
      <c r="N6" s="400"/>
    </row>
    <row r="7" spans="1:14" s="69" customFormat="1" x14ac:dyDescent="0.25">
      <c r="A7" s="400">
        <v>1</v>
      </c>
      <c r="B7" s="400"/>
      <c r="C7" s="400"/>
      <c r="D7" s="400"/>
      <c r="E7" s="61">
        <v>2</v>
      </c>
      <c r="F7" s="61">
        <v>3</v>
      </c>
      <c r="G7" s="61">
        <v>4</v>
      </c>
      <c r="H7" s="61">
        <v>5</v>
      </c>
      <c r="I7" s="61">
        <v>6</v>
      </c>
      <c r="J7" s="61">
        <v>7</v>
      </c>
      <c r="K7" s="61">
        <v>8</v>
      </c>
      <c r="L7" s="61">
        <v>9</v>
      </c>
      <c r="M7" s="61">
        <v>10</v>
      </c>
      <c r="N7" s="61">
        <v>11</v>
      </c>
    </row>
    <row r="8" spans="1:14" s="69" customFormat="1" ht="42" customHeight="1" x14ac:dyDescent="0.25">
      <c r="A8" s="400" t="s">
        <v>187</v>
      </c>
      <c r="B8" s="400"/>
      <c r="C8" s="400"/>
      <c r="D8" s="400"/>
      <c r="E8" s="61">
        <v>1000</v>
      </c>
      <c r="F8" s="61"/>
      <c r="G8" s="61"/>
      <c r="H8" s="61"/>
      <c r="I8" s="61"/>
      <c r="J8" s="61"/>
      <c r="K8" s="61"/>
      <c r="L8" s="61"/>
      <c r="M8" s="61"/>
      <c r="N8" s="61"/>
    </row>
    <row r="9" spans="1:14" s="69" customFormat="1" ht="19.149999999999999" customHeight="1" x14ac:dyDescent="0.25">
      <c r="A9" s="400" t="s">
        <v>54</v>
      </c>
      <c r="B9" s="400"/>
      <c r="C9" s="400"/>
      <c r="D9" s="400"/>
      <c r="E9" s="400">
        <v>1100</v>
      </c>
      <c r="F9" s="400"/>
      <c r="G9" s="400"/>
      <c r="H9" s="400"/>
      <c r="I9" s="400"/>
      <c r="J9" s="400"/>
      <c r="K9" s="400"/>
      <c r="L9" s="400"/>
      <c r="M9" s="400"/>
      <c r="N9" s="400"/>
    </row>
    <row r="10" spans="1:14" s="69" customFormat="1" ht="19.899999999999999" customHeight="1" x14ac:dyDescent="0.25">
      <c r="A10" s="400" t="s">
        <v>188</v>
      </c>
      <c r="B10" s="400"/>
      <c r="C10" s="400"/>
      <c r="D10" s="400"/>
      <c r="E10" s="400"/>
      <c r="F10" s="400"/>
      <c r="G10" s="400"/>
      <c r="H10" s="400"/>
      <c r="I10" s="400"/>
      <c r="J10" s="400"/>
      <c r="K10" s="400"/>
      <c r="L10" s="400"/>
      <c r="M10" s="400"/>
      <c r="N10" s="400"/>
    </row>
    <row r="11" spans="1:14" s="69" customFormat="1" x14ac:dyDescent="0.25">
      <c r="A11" s="400" t="s">
        <v>59</v>
      </c>
      <c r="B11" s="400"/>
      <c r="C11" s="400"/>
      <c r="D11" s="400"/>
      <c r="E11" s="400">
        <v>1110</v>
      </c>
      <c r="F11" s="400"/>
      <c r="G11" s="400"/>
      <c r="H11" s="400"/>
      <c r="I11" s="400"/>
      <c r="J11" s="400"/>
      <c r="K11" s="400"/>
      <c r="L11" s="400"/>
      <c r="M11" s="400"/>
      <c r="N11" s="400"/>
    </row>
    <row r="12" spans="1:14" s="69" customFormat="1" ht="45" customHeight="1" x14ac:dyDescent="0.25">
      <c r="A12" s="400" t="s">
        <v>262</v>
      </c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0"/>
    </row>
    <row r="13" spans="1:14" s="69" customFormat="1" ht="18.600000000000001" customHeight="1" x14ac:dyDescent="0.25">
      <c r="A13" s="478" t="s">
        <v>515</v>
      </c>
      <c r="B13" s="478"/>
      <c r="C13" s="478"/>
      <c r="D13" s="478"/>
      <c r="E13" s="61">
        <v>1111</v>
      </c>
      <c r="F13" s="61"/>
      <c r="G13" s="61"/>
      <c r="H13" s="61"/>
      <c r="I13" s="61"/>
      <c r="J13" s="61"/>
      <c r="K13" s="61"/>
      <c r="L13" s="61"/>
      <c r="M13" s="61"/>
      <c r="N13" s="61"/>
    </row>
    <row r="14" spans="1:14" s="69" customFormat="1" ht="19.149999999999999" customHeight="1" x14ac:dyDescent="0.25">
      <c r="A14" s="400" t="s">
        <v>189</v>
      </c>
      <c r="B14" s="400"/>
      <c r="C14" s="400"/>
      <c r="D14" s="400"/>
      <c r="E14" s="61">
        <v>1200</v>
      </c>
      <c r="F14" s="61"/>
      <c r="G14" s="61"/>
      <c r="H14" s="61"/>
      <c r="I14" s="61"/>
      <c r="J14" s="61"/>
      <c r="K14" s="61"/>
      <c r="L14" s="61"/>
      <c r="M14" s="61"/>
      <c r="N14" s="61"/>
    </row>
    <row r="15" spans="1:14" s="69" customFormat="1" ht="18.600000000000001" customHeight="1" x14ac:dyDescent="0.25">
      <c r="A15" s="400" t="s">
        <v>190</v>
      </c>
      <c r="B15" s="400"/>
      <c r="C15" s="400"/>
      <c r="D15" s="400"/>
      <c r="E15" s="61">
        <v>2000</v>
      </c>
      <c r="F15" s="61"/>
      <c r="G15" s="61"/>
      <c r="H15" s="61"/>
      <c r="I15" s="61"/>
      <c r="J15" s="61"/>
      <c r="K15" s="61"/>
      <c r="L15" s="61"/>
      <c r="M15" s="61"/>
      <c r="N15" s="61"/>
    </row>
    <row r="16" spans="1:14" s="69" customFormat="1" ht="17.45" customHeight="1" x14ac:dyDescent="0.25">
      <c r="A16" s="400" t="s">
        <v>54</v>
      </c>
      <c r="B16" s="400"/>
      <c r="C16" s="400"/>
      <c r="D16" s="400"/>
      <c r="E16" s="400">
        <v>2100</v>
      </c>
      <c r="F16" s="400"/>
      <c r="G16" s="400"/>
      <c r="H16" s="400"/>
      <c r="I16" s="400"/>
      <c r="J16" s="400"/>
      <c r="K16" s="400"/>
      <c r="L16" s="400"/>
      <c r="M16" s="400"/>
      <c r="N16" s="400"/>
    </row>
    <row r="17" spans="1:14" s="69" customFormat="1" ht="16.899999999999999" customHeight="1" x14ac:dyDescent="0.25">
      <c r="A17" s="400" t="s">
        <v>188</v>
      </c>
      <c r="B17" s="400"/>
      <c r="C17" s="400"/>
      <c r="D17" s="400"/>
      <c r="E17" s="400"/>
      <c r="F17" s="400"/>
      <c r="G17" s="400"/>
      <c r="H17" s="400"/>
      <c r="I17" s="400"/>
      <c r="J17" s="400"/>
      <c r="K17" s="400"/>
      <c r="L17" s="400"/>
      <c r="M17" s="400"/>
      <c r="N17" s="400"/>
    </row>
    <row r="18" spans="1:14" s="69" customFormat="1" x14ac:dyDescent="0.25">
      <c r="A18" s="400" t="s">
        <v>59</v>
      </c>
      <c r="B18" s="400"/>
      <c r="C18" s="400"/>
      <c r="D18" s="400"/>
      <c r="E18" s="400">
        <v>2110</v>
      </c>
      <c r="F18" s="400"/>
      <c r="G18" s="400"/>
      <c r="H18" s="400"/>
      <c r="I18" s="400"/>
      <c r="J18" s="400"/>
      <c r="K18" s="400"/>
      <c r="L18" s="400"/>
      <c r="M18" s="400"/>
      <c r="N18" s="400"/>
    </row>
    <row r="19" spans="1:14" s="69" customFormat="1" ht="41.25" customHeight="1" x14ac:dyDescent="0.25">
      <c r="A19" s="400" t="s">
        <v>262</v>
      </c>
      <c r="B19" s="400"/>
      <c r="C19" s="400"/>
      <c r="D19" s="400"/>
      <c r="E19" s="400"/>
      <c r="F19" s="400"/>
      <c r="G19" s="400"/>
      <c r="H19" s="400"/>
      <c r="I19" s="400"/>
      <c r="J19" s="400"/>
      <c r="K19" s="400"/>
      <c r="L19" s="400"/>
      <c r="M19" s="400"/>
      <c r="N19" s="400"/>
    </row>
    <row r="20" spans="1:14" s="69" customFormat="1" ht="17.45" customHeight="1" x14ac:dyDescent="0.25">
      <c r="A20" s="431"/>
      <c r="B20" s="431"/>
      <c r="C20" s="431"/>
      <c r="D20" s="43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1:14" s="69" customFormat="1" x14ac:dyDescent="0.25">
      <c r="A21" s="400" t="s">
        <v>189</v>
      </c>
      <c r="B21" s="400"/>
      <c r="C21" s="400"/>
      <c r="D21" s="400"/>
      <c r="E21" s="61">
        <v>2200</v>
      </c>
      <c r="F21" s="61"/>
      <c r="G21" s="61"/>
      <c r="H21" s="61"/>
      <c r="I21" s="61"/>
      <c r="J21" s="61"/>
      <c r="K21" s="61"/>
      <c r="L21" s="61"/>
      <c r="M21" s="61"/>
      <c r="N21" s="61"/>
    </row>
    <row r="22" spans="1:14" s="69" customFormat="1" ht="39.75" customHeight="1" x14ac:dyDescent="0.25">
      <c r="A22" s="400" t="s">
        <v>209</v>
      </c>
      <c r="B22" s="400"/>
      <c r="C22" s="400"/>
      <c r="D22" s="400"/>
      <c r="E22" s="61">
        <v>3000</v>
      </c>
      <c r="F22" s="61"/>
      <c r="G22" s="61"/>
      <c r="H22" s="61"/>
      <c r="I22" s="61"/>
      <c r="J22" s="61"/>
      <c r="K22" s="61"/>
      <c r="L22" s="61"/>
      <c r="M22" s="61"/>
      <c r="N22" s="61"/>
    </row>
    <row r="23" spans="1:14" s="69" customFormat="1" x14ac:dyDescent="0.25">
      <c r="A23" s="400" t="s">
        <v>54</v>
      </c>
      <c r="B23" s="400"/>
      <c r="C23" s="400"/>
      <c r="D23" s="400"/>
      <c r="E23" s="400">
        <v>3100</v>
      </c>
      <c r="F23" s="400"/>
      <c r="G23" s="400"/>
      <c r="H23" s="400"/>
      <c r="I23" s="400"/>
      <c r="J23" s="400"/>
      <c r="K23" s="400"/>
      <c r="L23" s="400"/>
      <c r="M23" s="400"/>
      <c r="N23" s="400"/>
    </row>
    <row r="24" spans="1:14" s="69" customFormat="1" ht="19.149999999999999" customHeight="1" x14ac:dyDescent="0.25">
      <c r="A24" s="400" t="s">
        <v>188</v>
      </c>
      <c r="B24" s="400"/>
      <c r="C24" s="400"/>
      <c r="D24" s="400"/>
      <c r="E24" s="400"/>
      <c r="F24" s="400"/>
      <c r="G24" s="400"/>
      <c r="H24" s="400"/>
      <c r="I24" s="400"/>
      <c r="J24" s="400"/>
      <c r="K24" s="400"/>
      <c r="L24" s="400"/>
      <c r="M24" s="400"/>
      <c r="N24" s="400"/>
    </row>
    <row r="25" spans="1:14" s="69" customFormat="1" x14ac:dyDescent="0.25">
      <c r="A25" s="400" t="s">
        <v>59</v>
      </c>
      <c r="B25" s="400"/>
      <c r="C25" s="400"/>
      <c r="D25" s="400"/>
      <c r="E25" s="400">
        <v>3110</v>
      </c>
      <c r="F25" s="400"/>
      <c r="G25" s="400"/>
      <c r="H25" s="400"/>
      <c r="I25" s="400"/>
      <c r="J25" s="400"/>
      <c r="K25" s="400"/>
      <c r="L25" s="400"/>
      <c r="M25" s="400"/>
      <c r="N25" s="400"/>
    </row>
    <row r="26" spans="1:14" s="69" customFormat="1" ht="48.75" customHeight="1" x14ac:dyDescent="0.25">
      <c r="A26" s="400" t="s">
        <v>262</v>
      </c>
      <c r="B26" s="400"/>
      <c r="C26" s="400"/>
      <c r="D26" s="400"/>
      <c r="E26" s="400"/>
      <c r="F26" s="400"/>
      <c r="G26" s="400"/>
      <c r="H26" s="400"/>
      <c r="I26" s="400"/>
      <c r="J26" s="400"/>
      <c r="K26" s="400"/>
      <c r="L26" s="400"/>
      <c r="M26" s="400"/>
      <c r="N26" s="400"/>
    </row>
    <row r="27" spans="1:14" s="69" customFormat="1" x14ac:dyDescent="0.25">
      <c r="A27" s="431"/>
      <c r="B27" s="431"/>
      <c r="C27" s="431"/>
      <c r="D27" s="431"/>
      <c r="E27" s="61"/>
      <c r="F27" s="61"/>
      <c r="G27" s="61"/>
      <c r="H27" s="61"/>
      <c r="I27" s="61"/>
      <c r="J27" s="61"/>
      <c r="K27" s="61"/>
      <c r="L27" s="61"/>
      <c r="M27" s="61"/>
      <c r="N27" s="61"/>
    </row>
    <row r="28" spans="1:14" s="69" customFormat="1" x14ac:dyDescent="0.25">
      <c r="A28" s="400" t="s">
        <v>189</v>
      </c>
      <c r="B28" s="400"/>
      <c r="C28" s="400"/>
      <c r="D28" s="400"/>
      <c r="E28" s="61">
        <v>3200</v>
      </c>
      <c r="F28" s="61"/>
      <c r="G28" s="61"/>
      <c r="H28" s="61"/>
      <c r="I28" s="61"/>
      <c r="J28" s="61"/>
      <c r="K28" s="61"/>
      <c r="L28" s="61"/>
      <c r="M28" s="61"/>
      <c r="N28" s="61"/>
    </row>
    <row r="29" spans="1:14" s="69" customFormat="1" x14ac:dyDescent="0.25">
      <c r="A29" s="400" t="s">
        <v>210</v>
      </c>
      <c r="B29" s="400"/>
      <c r="C29" s="400"/>
      <c r="D29" s="400"/>
      <c r="E29" s="250">
        <v>4000</v>
      </c>
      <c r="F29" s="250"/>
      <c r="G29" s="250"/>
      <c r="H29" s="251"/>
      <c r="I29" s="250"/>
      <c r="J29" s="250"/>
      <c r="K29" s="250"/>
      <c r="L29" s="250"/>
      <c r="M29" s="250"/>
      <c r="N29" s="250"/>
    </row>
    <row r="30" spans="1:14" s="69" customFormat="1" ht="15" customHeight="1" x14ac:dyDescent="0.25">
      <c r="A30" s="400" t="s">
        <v>54</v>
      </c>
      <c r="B30" s="400"/>
      <c r="C30" s="400"/>
      <c r="D30" s="400"/>
      <c r="E30" s="400">
        <v>4100</v>
      </c>
      <c r="F30" s="400"/>
      <c r="G30" s="400"/>
      <c r="H30" s="400"/>
      <c r="I30" s="400"/>
      <c r="J30" s="400"/>
      <c r="K30" s="400"/>
      <c r="L30" s="400"/>
      <c r="M30" s="400"/>
      <c r="N30" s="400"/>
    </row>
    <row r="31" spans="1:14" s="69" customFormat="1" x14ac:dyDescent="0.25">
      <c r="A31" s="400" t="s">
        <v>188</v>
      </c>
      <c r="B31" s="400"/>
      <c r="C31" s="400"/>
      <c r="D31" s="400"/>
      <c r="E31" s="400"/>
      <c r="F31" s="400"/>
      <c r="G31" s="400"/>
      <c r="H31" s="400"/>
      <c r="I31" s="400"/>
      <c r="J31" s="400"/>
      <c r="K31" s="400"/>
      <c r="L31" s="400"/>
      <c r="M31" s="400"/>
      <c r="N31" s="400"/>
    </row>
    <row r="32" spans="1:14" s="69" customFormat="1" x14ac:dyDescent="0.25">
      <c r="A32" s="400" t="s">
        <v>59</v>
      </c>
      <c r="B32" s="400"/>
      <c r="C32" s="400"/>
      <c r="D32" s="400"/>
      <c r="E32" s="400">
        <v>4110</v>
      </c>
      <c r="F32" s="400"/>
      <c r="G32" s="400"/>
      <c r="H32" s="400"/>
      <c r="I32" s="400"/>
      <c r="J32" s="400"/>
      <c r="K32" s="400"/>
      <c r="L32" s="400"/>
      <c r="M32" s="400"/>
      <c r="N32" s="400"/>
    </row>
    <row r="33" spans="1:28" s="69" customFormat="1" ht="47.25" customHeight="1" x14ac:dyDescent="0.25">
      <c r="A33" s="400" t="s">
        <v>262</v>
      </c>
      <c r="B33" s="400"/>
      <c r="C33" s="400"/>
      <c r="D33" s="400"/>
      <c r="E33" s="400"/>
      <c r="F33" s="400"/>
      <c r="G33" s="400"/>
      <c r="H33" s="400"/>
      <c r="I33" s="400"/>
      <c r="J33" s="400"/>
      <c r="K33" s="400"/>
      <c r="L33" s="400"/>
      <c r="M33" s="400"/>
      <c r="N33" s="400"/>
    </row>
    <row r="34" spans="1:28" s="69" customFormat="1" x14ac:dyDescent="0.25">
      <c r="A34" s="478" t="s">
        <v>527</v>
      </c>
      <c r="B34" s="478"/>
      <c r="C34" s="478"/>
      <c r="D34" s="478"/>
      <c r="E34" s="61">
        <v>4111</v>
      </c>
      <c r="F34" s="61"/>
      <c r="G34" s="61"/>
      <c r="H34" s="61"/>
      <c r="I34" s="61"/>
      <c r="J34" s="61"/>
      <c r="K34" s="61"/>
      <c r="L34" s="61"/>
      <c r="M34" s="61"/>
      <c r="N34" s="61"/>
    </row>
    <row r="35" spans="1:28" s="69" customFormat="1" x14ac:dyDescent="0.25">
      <c r="A35" s="400" t="s">
        <v>189</v>
      </c>
      <c r="B35" s="400"/>
      <c r="C35" s="400"/>
      <c r="D35" s="400"/>
      <c r="E35" s="61">
        <v>4200</v>
      </c>
      <c r="F35" s="61"/>
      <c r="G35" s="61"/>
      <c r="H35" s="61"/>
      <c r="I35" s="61"/>
      <c r="J35" s="61"/>
      <c r="K35" s="61"/>
      <c r="L35" s="61"/>
      <c r="M35" s="61"/>
      <c r="N35" s="61"/>
    </row>
    <row r="36" spans="1:28" s="173" customFormat="1" x14ac:dyDescent="0.25">
      <c r="A36" s="400" t="s">
        <v>20</v>
      </c>
      <c r="B36" s="400"/>
      <c r="C36" s="400"/>
      <c r="D36" s="400"/>
      <c r="E36" s="232">
        <v>9000</v>
      </c>
      <c r="F36" s="254">
        <f>F8+F15+F22+F29</f>
        <v>0</v>
      </c>
      <c r="G36" s="254">
        <f t="shared" ref="G36:N36" si="0">G8+G15+G22+G29</f>
        <v>0</v>
      </c>
      <c r="H36" s="254"/>
      <c r="I36" s="254">
        <f t="shared" si="0"/>
        <v>0</v>
      </c>
      <c r="J36" s="254">
        <f t="shared" si="0"/>
        <v>0</v>
      </c>
      <c r="K36" s="254">
        <f t="shared" si="0"/>
        <v>0</v>
      </c>
      <c r="L36" s="254">
        <f t="shared" si="0"/>
        <v>0</v>
      </c>
      <c r="M36" s="254">
        <f t="shared" si="0"/>
        <v>0</v>
      </c>
      <c r="N36" s="254">
        <f t="shared" si="0"/>
        <v>0</v>
      </c>
    </row>
    <row r="37" spans="1:28" ht="17.25" customHeight="1" x14ac:dyDescent="0.2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</row>
  </sheetData>
  <mergeCells count="121">
    <mergeCell ref="A1:N1"/>
    <mergeCell ref="A7:D7"/>
    <mergeCell ref="A8:D8"/>
    <mergeCell ref="A9:D9"/>
    <mergeCell ref="E9:E10"/>
    <mergeCell ref="F9:F10"/>
    <mergeCell ref="G9:G10"/>
    <mergeCell ref="A3:D6"/>
    <mergeCell ref="E3:E6"/>
    <mergeCell ref="F3:F6"/>
    <mergeCell ref="G3:N3"/>
    <mergeCell ref="G4:N4"/>
    <mergeCell ref="G5:J5"/>
    <mergeCell ref="K5:K6"/>
    <mergeCell ref="L5:L6"/>
    <mergeCell ref="M5:M6"/>
    <mergeCell ref="N5:N6"/>
    <mergeCell ref="L11:L12"/>
    <mergeCell ref="M11:M12"/>
    <mergeCell ref="N11:N12"/>
    <mergeCell ref="A12:D12"/>
    <mergeCell ref="A13:D13"/>
    <mergeCell ref="A14:D14"/>
    <mergeCell ref="N9:N10"/>
    <mergeCell ref="A10:D10"/>
    <mergeCell ref="A11:D11"/>
    <mergeCell ref="E11:E12"/>
    <mergeCell ref="F11:F12"/>
    <mergeCell ref="G11:G12"/>
    <mergeCell ref="H11:H12"/>
    <mergeCell ref="I11:I12"/>
    <mergeCell ref="J11:J12"/>
    <mergeCell ref="K11:K12"/>
    <mergeCell ref="H9:H10"/>
    <mergeCell ref="I9:I10"/>
    <mergeCell ref="J9:J10"/>
    <mergeCell ref="K9:K10"/>
    <mergeCell ref="L9:L10"/>
    <mergeCell ref="M9:M10"/>
    <mergeCell ref="I16:I17"/>
    <mergeCell ref="J16:J17"/>
    <mergeCell ref="K16:K17"/>
    <mergeCell ref="L16:L17"/>
    <mergeCell ref="M16:M17"/>
    <mergeCell ref="N16:N17"/>
    <mergeCell ref="A15:D15"/>
    <mergeCell ref="A16:D16"/>
    <mergeCell ref="E16:E17"/>
    <mergeCell ref="F16:F17"/>
    <mergeCell ref="G16:G17"/>
    <mergeCell ref="H16:H17"/>
    <mergeCell ref="A17:D17"/>
    <mergeCell ref="M18:M19"/>
    <mergeCell ref="N18:N19"/>
    <mergeCell ref="A19:D19"/>
    <mergeCell ref="A18:D18"/>
    <mergeCell ref="E18:E19"/>
    <mergeCell ref="F18:F19"/>
    <mergeCell ref="G18:G19"/>
    <mergeCell ref="H18:H19"/>
    <mergeCell ref="I18:I19"/>
    <mergeCell ref="A20:D20"/>
    <mergeCell ref="A21:D21"/>
    <mergeCell ref="A22:D22"/>
    <mergeCell ref="A23:D23"/>
    <mergeCell ref="E23:E24"/>
    <mergeCell ref="F23:F24"/>
    <mergeCell ref="J18:J19"/>
    <mergeCell ref="K18:K19"/>
    <mergeCell ref="L18:L19"/>
    <mergeCell ref="N25:N26"/>
    <mergeCell ref="A26:D26"/>
    <mergeCell ref="A27:D27"/>
    <mergeCell ref="M23:M24"/>
    <mergeCell ref="N23:N24"/>
    <mergeCell ref="A24:D24"/>
    <mergeCell ref="A25:D25"/>
    <mergeCell ref="E25:E26"/>
    <mergeCell ref="F25:F26"/>
    <mergeCell ref="G25:G26"/>
    <mergeCell ref="H25:H26"/>
    <mergeCell ref="I25:I26"/>
    <mergeCell ref="J25:J26"/>
    <mergeCell ref="G23:G24"/>
    <mergeCell ref="H23:H24"/>
    <mergeCell ref="I23:I24"/>
    <mergeCell ref="J23:J24"/>
    <mergeCell ref="K23:K24"/>
    <mergeCell ref="L23:L24"/>
    <mergeCell ref="A28:D28"/>
    <mergeCell ref="A29:D29"/>
    <mergeCell ref="A30:D30"/>
    <mergeCell ref="E30:E31"/>
    <mergeCell ref="F30:F31"/>
    <mergeCell ref="G30:G31"/>
    <mergeCell ref="K25:K26"/>
    <mergeCell ref="L25:L26"/>
    <mergeCell ref="M25:M26"/>
    <mergeCell ref="A36:D36"/>
    <mergeCell ref="L32:L33"/>
    <mergeCell ref="M32:M33"/>
    <mergeCell ref="N32:N33"/>
    <mergeCell ref="A33:D33"/>
    <mergeCell ref="A34:D34"/>
    <mergeCell ref="A35:D35"/>
    <mergeCell ref="N30:N31"/>
    <mergeCell ref="A31:D31"/>
    <mergeCell ref="A32:D32"/>
    <mergeCell ref="E32:E33"/>
    <mergeCell ref="F32:F33"/>
    <mergeCell ref="G32:G33"/>
    <mergeCell ref="H32:H33"/>
    <mergeCell ref="I32:I33"/>
    <mergeCell ref="J32:J33"/>
    <mergeCell ref="K32:K33"/>
    <mergeCell ref="H30:H31"/>
    <mergeCell ref="I30:I31"/>
    <mergeCell ref="J30:J31"/>
    <mergeCell ref="K30:K31"/>
    <mergeCell ref="L30:L31"/>
    <mergeCell ref="M30:M31"/>
  </mergeCells>
  <pageMargins left="0.39370078740157483" right="0.39370078740157483" top="0.78740157480314965" bottom="0.39370078740157483" header="0.31496062992125984" footer="0.31496062992125984"/>
  <pageSetup paperSize="9" scale="93" firstPageNumber="12" fitToHeight="200" orientation="landscape" useFirstPageNumber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P83"/>
  <sheetViews>
    <sheetView view="pageBreakPreview" zoomScale="80" zoomScaleNormal="100" zoomScaleSheetLayoutView="80" workbookViewId="0">
      <pane xSplit="5" ySplit="8" topLeftCell="G21" activePane="bottomRight" state="frozen"/>
      <selection activeCell="J41" sqref="J41"/>
      <selection pane="topRight" activeCell="J41" sqref="J41"/>
      <selection pane="bottomLeft" activeCell="J41" sqref="J41"/>
      <selection pane="bottomRight" activeCell="J21" sqref="J21"/>
    </sheetView>
  </sheetViews>
  <sheetFormatPr defaultColWidth="9.140625" defaultRowHeight="15" x14ac:dyDescent="0.25"/>
  <cols>
    <col min="1" max="1" width="9.28515625" style="173" bestFit="1" customWidth="1"/>
    <col min="2" max="2" width="6" style="173" customWidth="1"/>
    <col min="3" max="3" width="11.7109375" style="173" customWidth="1"/>
    <col min="4" max="4" width="7.7109375" style="173" customWidth="1"/>
    <col min="5" max="5" width="10" style="173" customWidth="1"/>
    <col min="6" max="6" width="12" style="173" customWidth="1"/>
    <col min="7" max="7" width="12" style="173" bestFit="1" customWidth="1"/>
    <col min="8" max="8" width="10.28515625" style="173" bestFit="1" customWidth="1"/>
    <col min="9" max="9" width="12" style="173" customWidth="1"/>
    <col min="10" max="10" width="12.5703125" style="173" bestFit="1" customWidth="1"/>
    <col min="11" max="11" width="10.85546875" style="173" bestFit="1" customWidth="1"/>
    <col min="12" max="13" width="12.5703125" style="173" bestFit="1" customWidth="1"/>
    <col min="14" max="14" width="13" style="173" bestFit="1" customWidth="1"/>
    <col min="15" max="15" width="10.7109375" style="173" bestFit="1" customWidth="1"/>
    <col min="16" max="16" width="9.42578125" style="173" bestFit="1" customWidth="1"/>
    <col min="17" max="17" width="12" style="173" bestFit="1" customWidth="1"/>
    <col min="18" max="18" width="9.42578125" style="173" bestFit="1" customWidth="1"/>
    <col min="19" max="19" width="9.140625" style="173" customWidth="1"/>
    <col min="20" max="20" width="13.85546875" style="173" customWidth="1"/>
    <col min="21" max="21" width="15" style="173" bestFit="1" customWidth="1"/>
    <col min="22" max="22" width="9.42578125" style="173" bestFit="1" customWidth="1"/>
    <col min="23" max="23" width="13.140625" style="173" bestFit="1" customWidth="1"/>
    <col min="24" max="24" width="9.28515625" style="173" bestFit="1" customWidth="1"/>
    <col min="25" max="25" width="12.140625" style="173" bestFit="1" customWidth="1"/>
    <col min="26" max="26" width="9.28515625" style="173" bestFit="1" customWidth="1"/>
    <col min="27" max="27" width="13" style="173" customWidth="1"/>
    <col min="28" max="28" width="9.28515625" style="173" bestFit="1" customWidth="1"/>
    <col min="29" max="29" width="14.85546875" style="173" bestFit="1" customWidth="1"/>
    <col min="30" max="30" width="9.28515625" style="173" bestFit="1" customWidth="1"/>
    <col min="31" max="31" width="15" style="173" bestFit="1" customWidth="1"/>
    <col min="32" max="33" width="9.28515625" style="173" bestFit="1" customWidth="1"/>
    <col min="34" max="34" width="10.85546875" style="173" bestFit="1" customWidth="1"/>
    <col min="35" max="35" width="9.28515625" style="173" bestFit="1" customWidth="1"/>
    <col min="36" max="36" width="12" style="173" bestFit="1" customWidth="1"/>
    <col min="37" max="40" width="9.28515625" style="173" bestFit="1" customWidth="1"/>
    <col min="41" max="41" width="13" style="173" bestFit="1" customWidth="1"/>
    <col min="42" max="42" width="10.85546875" style="173" bestFit="1" customWidth="1"/>
    <col min="43" max="16384" width="9.140625" style="173"/>
  </cols>
  <sheetData>
    <row r="1" spans="1:42" s="368" customFormat="1" ht="19.899999999999999" customHeight="1" x14ac:dyDescent="0.25">
      <c r="B1" s="245"/>
      <c r="C1" s="245"/>
      <c r="D1" s="245"/>
      <c r="E1" s="245"/>
      <c r="F1" s="78" t="s">
        <v>308</v>
      </c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</row>
    <row r="2" spans="1:42" ht="19.899999999999999" customHeight="1" x14ac:dyDescent="0.25">
      <c r="A2" s="376"/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</row>
    <row r="3" spans="1:42" ht="34.5" customHeight="1" x14ac:dyDescent="0.25">
      <c r="A3" s="432" t="s">
        <v>179</v>
      </c>
      <c r="B3" s="432"/>
      <c r="C3" s="432"/>
      <c r="D3" s="432"/>
      <c r="E3" s="432" t="s">
        <v>9</v>
      </c>
      <c r="F3" s="432" t="s">
        <v>139</v>
      </c>
      <c r="G3" s="432" t="s">
        <v>1290</v>
      </c>
      <c r="H3" s="432" t="s">
        <v>418</v>
      </c>
      <c r="I3" s="432" t="s">
        <v>301</v>
      </c>
      <c r="J3" s="432" t="s">
        <v>480</v>
      </c>
      <c r="K3" s="432" t="s">
        <v>1289</v>
      </c>
      <c r="L3" s="432" t="s">
        <v>180</v>
      </c>
      <c r="M3" s="432"/>
      <c r="N3" s="432"/>
      <c r="O3" s="432"/>
      <c r="P3" s="432"/>
      <c r="Q3" s="432"/>
      <c r="R3" s="432"/>
      <c r="S3" s="432"/>
      <c r="T3" s="493" t="s">
        <v>328</v>
      </c>
      <c r="U3" s="493"/>
      <c r="V3" s="493"/>
      <c r="W3" s="493"/>
      <c r="X3" s="493"/>
      <c r="Y3" s="493"/>
      <c r="Z3" s="493"/>
      <c r="AA3" s="493"/>
      <c r="AB3" s="493"/>
      <c r="AC3" s="493"/>
      <c r="AD3" s="493"/>
      <c r="AE3" s="493"/>
      <c r="AF3" s="432" t="s">
        <v>309</v>
      </c>
      <c r="AG3" s="432"/>
      <c r="AH3" s="432"/>
      <c r="AI3" s="432"/>
      <c r="AJ3" s="432"/>
      <c r="AK3" s="432"/>
      <c r="AL3" s="432"/>
      <c r="AM3" s="432"/>
      <c r="AN3" s="432"/>
      <c r="AO3" s="432"/>
      <c r="AP3" s="432"/>
    </row>
    <row r="4" spans="1:42" ht="18" customHeight="1" x14ac:dyDescent="0.25">
      <c r="A4" s="432"/>
      <c r="B4" s="432"/>
      <c r="C4" s="432"/>
      <c r="D4" s="432"/>
      <c r="E4" s="432"/>
      <c r="F4" s="432"/>
      <c r="G4" s="432"/>
      <c r="H4" s="432"/>
      <c r="I4" s="432"/>
      <c r="J4" s="432"/>
      <c r="K4" s="432"/>
      <c r="L4" s="432" t="s">
        <v>15</v>
      </c>
      <c r="M4" s="432" t="s">
        <v>54</v>
      </c>
      <c r="N4" s="432"/>
      <c r="O4" s="432"/>
      <c r="P4" s="432"/>
      <c r="Q4" s="432"/>
      <c r="R4" s="432"/>
      <c r="S4" s="432"/>
      <c r="T4" s="432" t="s">
        <v>193</v>
      </c>
      <c r="U4" s="432"/>
      <c r="V4" s="432" t="s">
        <v>194</v>
      </c>
      <c r="W4" s="432"/>
      <c r="X4" s="432" t="s">
        <v>195</v>
      </c>
      <c r="Y4" s="432"/>
      <c r="Z4" s="432" t="s">
        <v>196</v>
      </c>
      <c r="AA4" s="432"/>
      <c r="AB4" s="432" t="s">
        <v>197</v>
      </c>
      <c r="AC4" s="432"/>
      <c r="AD4" s="432" t="s">
        <v>198</v>
      </c>
      <c r="AE4" s="432"/>
      <c r="AF4" s="432" t="s">
        <v>198</v>
      </c>
      <c r="AG4" s="432" t="s">
        <v>200</v>
      </c>
      <c r="AH4" s="432" t="s">
        <v>201</v>
      </c>
      <c r="AI4" s="432" t="s">
        <v>202</v>
      </c>
      <c r="AJ4" s="432" t="s">
        <v>203</v>
      </c>
      <c r="AK4" s="432" t="s">
        <v>204</v>
      </c>
      <c r="AL4" s="432" t="s">
        <v>205</v>
      </c>
      <c r="AM4" s="432" t="s">
        <v>206</v>
      </c>
      <c r="AN4" s="432" t="s">
        <v>207</v>
      </c>
      <c r="AO4" s="432" t="s">
        <v>208</v>
      </c>
      <c r="AP4" s="432" t="s">
        <v>193</v>
      </c>
    </row>
    <row r="5" spans="1:42" ht="19.149999999999999" customHeight="1" x14ac:dyDescent="0.25">
      <c r="A5" s="432"/>
      <c r="B5" s="432"/>
      <c r="C5" s="432"/>
      <c r="D5" s="432"/>
      <c r="E5" s="432"/>
      <c r="F5" s="432"/>
      <c r="G5" s="432"/>
      <c r="H5" s="432"/>
      <c r="I5" s="432"/>
      <c r="J5" s="432"/>
      <c r="K5" s="432"/>
      <c r="L5" s="432"/>
      <c r="M5" s="432" t="s">
        <v>420</v>
      </c>
      <c r="N5" s="432" t="s">
        <v>181</v>
      </c>
      <c r="O5" s="432"/>
      <c r="P5" s="432"/>
      <c r="Q5" s="432" t="s">
        <v>182</v>
      </c>
      <c r="R5" s="432"/>
      <c r="S5" s="432"/>
      <c r="T5" s="432" t="s">
        <v>422</v>
      </c>
      <c r="U5" s="432" t="s">
        <v>423</v>
      </c>
      <c r="V5" s="432" t="s">
        <v>422</v>
      </c>
      <c r="W5" s="432" t="s">
        <v>423</v>
      </c>
      <c r="X5" s="432" t="s">
        <v>422</v>
      </c>
      <c r="Y5" s="432" t="s">
        <v>423</v>
      </c>
      <c r="Z5" s="432" t="s">
        <v>422</v>
      </c>
      <c r="AA5" s="432" t="s">
        <v>423</v>
      </c>
      <c r="AB5" s="432" t="s">
        <v>422</v>
      </c>
      <c r="AC5" s="432" t="s">
        <v>423</v>
      </c>
      <c r="AD5" s="432" t="s">
        <v>422</v>
      </c>
      <c r="AE5" s="432" t="s">
        <v>423</v>
      </c>
      <c r="AF5" s="432"/>
      <c r="AG5" s="432"/>
      <c r="AH5" s="432"/>
      <c r="AI5" s="432"/>
      <c r="AJ5" s="432"/>
      <c r="AK5" s="432"/>
      <c r="AL5" s="432"/>
      <c r="AM5" s="432"/>
      <c r="AN5" s="432"/>
      <c r="AO5" s="432"/>
      <c r="AP5" s="432"/>
    </row>
    <row r="6" spans="1:42" ht="50.25" customHeight="1" x14ac:dyDescent="0.25">
      <c r="A6" s="432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 t="s">
        <v>15</v>
      </c>
      <c r="O6" s="432" t="s">
        <v>54</v>
      </c>
      <c r="P6" s="432"/>
      <c r="Q6" s="432" t="s">
        <v>183</v>
      </c>
      <c r="R6" s="432" t="s">
        <v>184</v>
      </c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2"/>
      <c r="AD6" s="432"/>
      <c r="AE6" s="432"/>
      <c r="AF6" s="432"/>
      <c r="AG6" s="432"/>
      <c r="AH6" s="432"/>
      <c r="AI6" s="432"/>
      <c r="AJ6" s="432"/>
      <c r="AK6" s="432"/>
      <c r="AL6" s="432"/>
      <c r="AM6" s="432"/>
      <c r="AN6" s="432"/>
      <c r="AO6" s="432"/>
      <c r="AP6" s="432"/>
    </row>
    <row r="7" spans="1:42" ht="45.75" customHeight="1" x14ac:dyDescent="0.25">
      <c r="A7" s="432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369" t="s">
        <v>185</v>
      </c>
      <c r="P7" s="369" t="s">
        <v>421</v>
      </c>
      <c r="Q7" s="432"/>
      <c r="R7" s="369" t="s">
        <v>15</v>
      </c>
      <c r="S7" s="369" t="s">
        <v>186</v>
      </c>
      <c r="T7" s="432"/>
      <c r="U7" s="432"/>
      <c r="V7" s="432"/>
      <c r="W7" s="432"/>
      <c r="X7" s="432"/>
      <c r="Y7" s="432"/>
      <c r="Z7" s="432"/>
      <c r="AA7" s="432"/>
      <c r="AB7" s="432"/>
      <c r="AC7" s="432"/>
      <c r="AD7" s="432"/>
      <c r="AE7" s="432"/>
      <c r="AF7" s="432"/>
      <c r="AG7" s="432"/>
      <c r="AH7" s="432"/>
      <c r="AI7" s="432"/>
      <c r="AJ7" s="432"/>
      <c r="AK7" s="432"/>
      <c r="AL7" s="432"/>
      <c r="AM7" s="432"/>
      <c r="AN7" s="432"/>
      <c r="AO7" s="432"/>
      <c r="AP7" s="432"/>
    </row>
    <row r="8" spans="1:42" ht="18" customHeight="1" x14ac:dyDescent="0.25">
      <c r="A8" s="432">
        <v>1</v>
      </c>
      <c r="B8" s="432"/>
      <c r="C8" s="432"/>
      <c r="D8" s="432"/>
      <c r="E8" s="369">
        <v>2</v>
      </c>
      <c r="F8" s="369">
        <v>3</v>
      </c>
      <c r="G8" s="369">
        <v>4</v>
      </c>
      <c r="H8" s="369">
        <v>5</v>
      </c>
      <c r="I8" s="369">
        <v>6</v>
      </c>
      <c r="J8" s="369">
        <v>7</v>
      </c>
      <c r="K8" s="369">
        <v>8</v>
      </c>
      <c r="L8" s="369">
        <v>9</v>
      </c>
      <c r="M8" s="369">
        <v>10</v>
      </c>
      <c r="N8" s="369">
        <v>11</v>
      </c>
      <c r="O8" s="369">
        <v>12</v>
      </c>
      <c r="P8" s="369">
        <v>13</v>
      </c>
      <c r="Q8" s="369">
        <v>14</v>
      </c>
      <c r="R8" s="369">
        <v>15</v>
      </c>
      <c r="S8" s="369">
        <v>16</v>
      </c>
      <c r="T8" s="369">
        <v>17</v>
      </c>
      <c r="U8" s="369">
        <v>18</v>
      </c>
      <c r="V8" s="369">
        <v>19</v>
      </c>
      <c r="W8" s="369">
        <v>20</v>
      </c>
      <c r="X8" s="369">
        <v>21</v>
      </c>
      <c r="Y8" s="369">
        <v>22</v>
      </c>
      <c r="Z8" s="369">
        <v>23</v>
      </c>
      <c r="AA8" s="369">
        <v>24</v>
      </c>
      <c r="AB8" s="369">
        <v>25</v>
      </c>
      <c r="AC8" s="369">
        <v>26</v>
      </c>
      <c r="AD8" s="369">
        <v>27</v>
      </c>
      <c r="AE8" s="369">
        <v>28</v>
      </c>
      <c r="AF8" s="369">
        <v>29</v>
      </c>
      <c r="AG8" s="369">
        <v>30</v>
      </c>
      <c r="AH8" s="369">
        <v>31</v>
      </c>
      <c r="AI8" s="369">
        <v>32</v>
      </c>
      <c r="AJ8" s="369">
        <v>33</v>
      </c>
      <c r="AK8" s="369">
        <v>34</v>
      </c>
      <c r="AL8" s="369">
        <v>35</v>
      </c>
      <c r="AM8" s="369">
        <v>36</v>
      </c>
      <c r="AN8" s="369">
        <v>37</v>
      </c>
      <c r="AO8" s="369">
        <v>38</v>
      </c>
      <c r="AP8" s="369">
        <v>39</v>
      </c>
    </row>
    <row r="9" spans="1:42" ht="45.75" customHeight="1" x14ac:dyDescent="0.25">
      <c r="A9" s="477" t="s">
        <v>187</v>
      </c>
      <c r="B9" s="477"/>
      <c r="C9" s="477"/>
      <c r="D9" s="477"/>
      <c r="E9" s="369">
        <v>1000</v>
      </c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  <c r="AB9" s="369"/>
      <c r="AC9" s="369"/>
      <c r="AD9" s="369"/>
      <c r="AE9" s="369"/>
      <c r="AF9" s="369"/>
      <c r="AG9" s="369"/>
      <c r="AH9" s="369"/>
      <c r="AI9" s="369"/>
      <c r="AJ9" s="369"/>
      <c r="AK9" s="369"/>
      <c r="AL9" s="369"/>
      <c r="AM9" s="369"/>
      <c r="AN9" s="369"/>
      <c r="AO9" s="369"/>
      <c r="AP9" s="369"/>
    </row>
    <row r="10" spans="1:42" ht="15" customHeight="1" x14ac:dyDescent="0.25">
      <c r="A10" s="477" t="s">
        <v>54</v>
      </c>
      <c r="B10" s="477"/>
      <c r="C10" s="477"/>
      <c r="D10" s="477"/>
      <c r="E10" s="432">
        <v>1100</v>
      </c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2"/>
      <c r="S10" s="432"/>
      <c r="T10" s="432"/>
      <c r="U10" s="432"/>
      <c r="V10" s="432"/>
      <c r="W10" s="432"/>
      <c r="X10" s="432"/>
      <c r="Y10" s="432"/>
      <c r="Z10" s="432"/>
      <c r="AA10" s="432"/>
      <c r="AB10" s="432"/>
      <c r="AC10" s="432"/>
      <c r="AD10" s="432"/>
      <c r="AE10" s="432"/>
      <c r="AF10" s="432"/>
      <c r="AG10" s="432"/>
      <c r="AH10" s="432"/>
      <c r="AI10" s="432"/>
      <c r="AJ10" s="432"/>
      <c r="AK10" s="432"/>
      <c r="AL10" s="432"/>
      <c r="AM10" s="432"/>
      <c r="AN10" s="432"/>
      <c r="AO10" s="432"/>
      <c r="AP10" s="432"/>
    </row>
    <row r="11" spans="1:42" ht="15" customHeight="1" x14ac:dyDescent="0.25">
      <c r="A11" s="476" t="s">
        <v>188</v>
      </c>
      <c r="B11" s="476"/>
      <c r="C11" s="476"/>
      <c r="D11" s="476"/>
      <c r="E11" s="432"/>
      <c r="F11" s="432"/>
      <c r="G11" s="432"/>
      <c r="H11" s="432"/>
      <c r="I11" s="432"/>
      <c r="J11" s="432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  <c r="V11" s="432"/>
      <c r="W11" s="432"/>
      <c r="X11" s="432"/>
      <c r="Y11" s="432"/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432"/>
      <c r="AK11" s="432"/>
      <c r="AL11" s="432"/>
      <c r="AM11" s="432"/>
      <c r="AN11" s="432"/>
      <c r="AO11" s="432"/>
      <c r="AP11" s="432"/>
    </row>
    <row r="12" spans="1:42" x14ac:dyDescent="0.25">
      <c r="A12" s="518" t="s">
        <v>59</v>
      </c>
      <c r="B12" s="518"/>
      <c r="C12" s="518"/>
      <c r="D12" s="518"/>
      <c r="E12" s="432">
        <v>1110</v>
      </c>
      <c r="F12" s="432"/>
      <c r="G12" s="432"/>
      <c r="H12" s="432"/>
      <c r="I12" s="432"/>
      <c r="J12" s="432"/>
      <c r="K12" s="432"/>
      <c r="L12" s="432"/>
      <c r="M12" s="432"/>
      <c r="N12" s="432"/>
      <c r="O12" s="432"/>
      <c r="P12" s="432"/>
      <c r="Q12" s="432"/>
      <c r="R12" s="432"/>
      <c r="S12" s="432"/>
      <c r="T12" s="432"/>
      <c r="U12" s="432"/>
      <c r="V12" s="432"/>
      <c r="W12" s="432"/>
      <c r="X12" s="432"/>
      <c r="Y12" s="432"/>
      <c r="Z12" s="432"/>
      <c r="AA12" s="432"/>
      <c r="AB12" s="432"/>
      <c r="AC12" s="432"/>
      <c r="AD12" s="432"/>
      <c r="AE12" s="432"/>
      <c r="AF12" s="432"/>
      <c r="AG12" s="432"/>
      <c r="AH12" s="432"/>
      <c r="AI12" s="432"/>
      <c r="AJ12" s="432"/>
      <c r="AK12" s="432"/>
      <c r="AL12" s="432"/>
      <c r="AM12" s="432"/>
      <c r="AN12" s="432"/>
      <c r="AO12" s="432"/>
      <c r="AP12" s="432"/>
    </row>
    <row r="13" spans="1:42" ht="44.45" customHeight="1" x14ac:dyDescent="0.25">
      <c r="A13" s="518" t="s">
        <v>262</v>
      </c>
      <c r="B13" s="518"/>
      <c r="C13" s="518"/>
      <c r="D13" s="518"/>
      <c r="E13" s="432"/>
      <c r="F13" s="432"/>
      <c r="G13" s="432"/>
      <c r="H13" s="432"/>
      <c r="I13" s="432"/>
      <c r="J13" s="432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2"/>
      <c r="AD13" s="432"/>
      <c r="AE13" s="432"/>
      <c r="AF13" s="432"/>
      <c r="AG13" s="432"/>
      <c r="AH13" s="432"/>
      <c r="AI13" s="432"/>
      <c r="AJ13" s="432"/>
      <c r="AK13" s="432"/>
      <c r="AL13" s="432"/>
      <c r="AM13" s="432"/>
      <c r="AN13" s="432"/>
      <c r="AO13" s="432"/>
      <c r="AP13" s="432"/>
    </row>
    <row r="14" spans="1:42" ht="16.899999999999999" customHeight="1" x14ac:dyDescent="0.25">
      <c r="A14" s="520"/>
      <c r="B14" s="520"/>
      <c r="C14" s="520"/>
      <c r="D14" s="520"/>
      <c r="E14" s="369"/>
      <c r="F14" s="370"/>
      <c r="G14" s="370"/>
      <c r="H14" s="370"/>
      <c r="I14" s="370"/>
      <c r="J14" s="370"/>
      <c r="K14" s="370"/>
      <c r="L14" s="369"/>
      <c r="M14" s="369"/>
      <c r="N14" s="369"/>
      <c r="O14" s="369"/>
      <c r="P14" s="369"/>
      <c r="Q14" s="369"/>
      <c r="R14" s="369"/>
      <c r="S14" s="369"/>
      <c r="T14" s="369"/>
      <c r="U14" s="369"/>
      <c r="V14" s="369"/>
      <c r="W14" s="369"/>
      <c r="X14" s="369"/>
      <c r="Y14" s="369"/>
      <c r="Z14" s="369"/>
      <c r="AA14" s="369"/>
      <c r="AB14" s="369"/>
      <c r="AC14" s="369"/>
      <c r="AD14" s="369"/>
      <c r="AE14" s="369"/>
      <c r="AF14" s="369"/>
      <c r="AG14" s="369"/>
      <c r="AH14" s="369"/>
      <c r="AI14" s="369"/>
      <c r="AJ14" s="369"/>
      <c r="AK14" s="369"/>
      <c r="AL14" s="369"/>
      <c r="AM14" s="369"/>
      <c r="AN14" s="369"/>
      <c r="AO14" s="369"/>
      <c r="AP14" s="369"/>
    </row>
    <row r="15" spans="1:42" ht="19.149999999999999" customHeight="1" x14ac:dyDescent="0.25">
      <c r="A15" s="476" t="s">
        <v>189</v>
      </c>
      <c r="B15" s="476"/>
      <c r="C15" s="476"/>
      <c r="D15" s="476"/>
      <c r="E15" s="369">
        <v>1200</v>
      </c>
      <c r="F15" s="369"/>
      <c r="G15" s="369"/>
      <c r="H15" s="369"/>
      <c r="I15" s="369"/>
      <c r="J15" s="369"/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9"/>
      <c r="AA15" s="369"/>
      <c r="AB15" s="369"/>
      <c r="AC15" s="369"/>
      <c r="AD15" s="369"/>
      <c r="AE15" s="369"/>
      <c r="AF15" s="369"/>
      <c r="AG15" s="369"/>
      <c r="AH15" s="369"/>
      <c r="AI15" s="369"/>
      <c r="AJ15" s="369"/>
      <c r="AK15" s="369"/>
      <c r="AL15" s="369"/>
      <c r="AM15" s="369"/>
      <c r="AN15" s="369"/>
      <c r="AO15" s="369"/>
      <c r="AP15" s="369"/>
    </row>
    <row r="16" spans="1:42" ht="18.600000000000001" customHeight="1" x14ac:dyDescent="0.25">
      <c r="A16" s="477" t="s">
        <v>190</v>
      </c>
      <c r="B16" s="477"/>
      <c r="C16" s="477"/>
      <c r="D16" s="477"/>
      <c r="E16" s="369">
        <v>2000</v>
      </c>
      <c r="F16" s="369"/>
      <c r="G16" s="369"/>
      <c r="H16" s="369"/>
      <c r="I16" s="369"/>
      <c r="J16" s="374">
        <f>J17</f>
        <v>561349.30000000005</v>
      </c>
      <c r="K16" s="374">
        <f t="shared" ref="K16:M16" si="0">K17</f>
        <v>85974.27</v>
      </c>
      <c r="L16" s="374">
        <f t="shared" si="0"/>
        <v>561349.30000000005</v>
      </c>
      <c r="M16" s="374">
        <f t="shared" si="0"/>
        <v>561349.30000000005</v>
      </c>
      <c r="N16" s="369"/>
      <c r="O16" s="369"/>
      <c r="P16" s="369"/>
      <c r="Q16" s="369"/>
      <c r="R16" s="369"/>
      <c r="S16" s="369"/>
      <c r="T16" s="373"/>
      <c r="U16" s="371"/>
      <c r="V16" s="373"/>
      <c r="W16" s="371"/>
      <c r="X16" s="373"/>
      <c r="Y16" s="371"/>
      <c r="Z16" s="373">
        <f>Z17</f>
        <v>7</v>
      </c>
      <c r="AA16" s="371">
        <f>AA17</f>
        <v>457138</v>
      </c>
      <c r="AB16" s="373"/>
      <c r="AC16" s="371"/>
      <c r="AD16" s="373">
        <f>AD17</f>
        <v>1</v>
      </c>
      <c r="AE16" s="371">
        <f>AE17</f>
        <v>104211.3</v>
      </c>
      <c r="AF16" s="372"/>
      <c r="AG16" s="372"/>
      <c r="AH16" s="372"/>
      <c r="AI16" s="372"/>
      <c r="AJ16" s="372"/>
      <c r="AK16" s="372"/>
      <c r="AL16" s="372"/>
      <c r="AM16" s="372"/>
      <c r="AN16" s="372"/>
      <c r="AO16" s="372"/>
      <c r="AP16" s="372"/>
    </row>
    <row r="17" spans="1:42" ht="15" customHeight="1" x14ac:dyDescent="0.25">
      <c r="A17" s="476" t="s">
        <v>54</v>
      </c>
      <c r="B17" s="476"/>
      <c r="C17" s="476"/>
      <c r="D17" s="476"/>
      <c r="E17" s="432">
        <v>2100</v>
      </c>
      <c r="F17" s="432"/>
      <c r="G17" s="432"/>
      <c r="H17" s="432"/>
      <c r="I17" s="432"/>
      <c r="J17" s="517">
        <f>J19</f>
        <v>561349.30000000005</v>
      </c>
      <c r="K17" s="517">
        <f>K19</f>
        <v>85974.27</v>
      </c>
      <c r="L17" s="517">
        <f>J17</f>
        <v>561349.30000000005</v>
      </c>
      <c r="M17" s="517">
        <f>L17</f>
        <v>561349.30000000005</v>
      </c>
      <c r="N17" s="432"/>
      <c r="O17" s="432"/>
      <c r="P17" s="432"/>
      <c r="Q17" s="432"/>
      <c r="R17" s="432"/>
      <c r="S17" s="432"/>
      <c r="T17" s="513">
        <f>T19</f>
        <v>0</v>
      </c>
      <c r="U17" s="508">
        <f>U19</f>
        <v>0</v>
      </c>
      <c r="V17" s="513">
        <f t="shared" ref="V17:AE17" si="1">V19</f>
        <v>0</v>
      </c>
      <c r="W17" s="508">
        <f t="shared" si="1"/>
        <v>0</v>
      </c>
      <c r="X17" s="513">
        <f t="shared" si="1"/>
        <v>0</v>
      </c>
      <c r="Y17" s="508">
        <f t="shared" si="1"/>
        <v>0</v>
      </c>
      <c r="Z17" s="513">
        <f t="shared" si="1"/>
        <v>7</v>
      </c>
      <c r="AA17" s="508">
        <f t="shared" si="1"/>
        <v>457138</v>
      </c>
      <c r="AB17" s="513">
        <f t="shared" si="1"/>
        <v>0</v>
      </c>
      <c r="AC17" s="508">
        <f t="shared" si="1"/>
        <v>0</v>
      </c>
      <c r="AD17" s="513">
        <f t="shared" si="1"/>
        <v>1</v>
      </c>
      <c r="AE17" s="508">
        <f t="shared" si="1"/>
        <v>104211.3</v>
      </c>
      <c r="AF17" s="511">
        <f t="shared" ref="AF17:AP17" si="2">AF19</f>
        <v>0</v>
      </c>
      <c r="AG17" s="511">
        <f t="shared" si="2"/>
        <v>0</v>
      </c>
      <c r="AH17" s="511">
        <f t="shared" si="2"/>
        <v>0</v>
      </c>
      <c r="AI17" s="511">
        <f t="shared" si="2"/>
        <v>0</v>
      </c>
      <c r="AJ17" s="511">
        <f t="shared" si="2"/>
        <v>0</v>
      </c>
      <c r="AK17" s="511">
        <f t="shared" si="2"/>
        <v>0</v>
      </c>
      <c r="AL17" s="511">
        <f t="shared" si="2"/>
        <v>0</v>
      </c>
      <c r="AM17" s="511">
        <f t="shared" si="2"/>
        <v>0</v>
      </c>
      <c r="AN17" s="511">
        <f t="shared" si="2"/>
        <v>0</v>
      </c>
      <c r="AO17" s="511">
        <f t="shared" si="2"/>
        <v>85974.27</v>
      </c>
      <c r="AP17" s="511">
        <f t="shared" si="2"/>
        <v>0</v>
      </c>
    </row>
    <row r="18" spans="1:42" ht="18" customHeight="1" x14ac:dyDescent="0.25">
      <c r="A18" s="476" t="s">
        <v>188</v>
      </c>
      <c r="B18" s="476"/>
      <c r="C18" s="476"/>
      <c r="D18" s="476"/>
      <c r="E18" s="432"/>
      <c r="F18" s="432"/>
      <c r="G18" s="432"/>
      <c r="H18" s="432"/>
      <c r="I18" s="432"/>
      <c r="J18" s="432"/>
      <c r="K18" s="432"/>
      <c r="L18" s="432"/>
      <c r="M18" s="432"/>
      <c r="N18" s="432"/>
      <c r="O18" s="432"/>
      <c r="P18" s="432"/>
      <c r="Q18" s="432"/>
      <c r="R18" s="432"/>
      <c r="S18" s="432"/>
      <c r="T18" s="432"/>
      <c r="U18" s="432"/>
      <c r="V18" s="432"/>
      <c r="W18" s="432"/>
      <c r="X18" s="432"/>
      <c r="Y18" s="432"/>
      <c r="Z18" s="432"/>
      <c r="AA18" s="432"/>
      <c r="AB18" s="432"/>
      <c r="AC18" s="432"/>
      <c r="AD18" s="432"/>
      <c r="AE18" s="432"/>
      <c r="AF18" s="512"/>
      <c r="AG18" s="512"/>
      <c r="AH18" s="512"/>
      <c r="AI18" s="512"/>
      <c r="AJ18" s="512"/>
      <c r="AK18" s="512"/>
      <c r="AL18" s="512"/>
      <c r="AM18" s="512"/>
      <c r="AN18" s="512"/>
      <c r="AO18" s="512"/>
      <c r="AP18" s="512"/>
    </row>
    <row r="19" spans="1:42" ht="18" customHeight="1" x14ac:dyDescent="0.25">
      <c r="A19" s="518" t="s">
        <v>59</v>
      </c>
      <c r="B19" s="518"/>
      <c r="C19" s="518"/>
      <c r="D19" s="518"/>
      <c r="E19" s="432"/>
      <c r="F19" s="432"/>
      <c r="G19" s="432"/>
      <c r="H19" s="432"/>
      <c r="I19" s="432"/>
      <c r="J19" s="517">
        <f>SUM(J21:J28)</f>
        <v>561349.30000000005</v>
      </c>
      <c r="K19" s="517">
        <f>SUM(K21:K21)</f>
        <v>85974.27</v>
      </c>
      <c r="L19" s="517">
        <f>J19</f>
        <v>561349.30000000005</v>
      </c>
      <c r="M19" s="517">
        <f>L19</f>
        <v>561349.30000000005</v>
      </c>
      <c r="N19" s="432"/>
      <c r="O19" s="432"/>
      <c r="P19" s="432"/>
      <c r="Q19" s="432"/>
      <c r="R19" s="432"/>
      <c r="S19" s="432"/>
      <c r="T19" s="513">
        <f t="shared" ref="T19:Y19" si="3">SUM(T21:T21)</f>
        <v>0</v>
      </c>
      <c r="U19" s="508">
        <f t="shared" si="3"/>
        <v>0</v>
      </c>
      <c r="V19" s="513">
        <f t="shared" si="3"/>
        <v>0</v>
      </c>
      <c r="W19" s="508">
        <f t="shared" si="3"/>
        <v>0</v>
      </c>
      <c r="X19" s="513">
        <f t="shared" si="3"/>
        <v>0</v>
      </c>
      <c r="Y19" s="508">
        <f t="shared" si="3"/>
        <v>0</v>
      </c>
      <c r="Z19" s="513">
        <v>7</v>
      </c>
      <c r="AA19" s="508">
        <f>SUM(AA22:AA28)</f>
        <v>457138</v>
      </c>
      <c r="AB19" s="513">
        <f t="shared" ref="AB19:AP19" si="4">SUM(AB21:AB21)</f>
        <v>0</v>
      </c>
      <c r="AC19" s="508">
        <f t="shared" si="4"/>
        <v>0</v>
      </c>
      <c r="AD19" s="513">
        <f t="shared" si="4"/>
        <v>1</v>
      </c>
      <c r="AE19" s="508">
        <f t="shared" si="4"/>
        <v>104211.3</v>
      </c>
      <c r="AF19" s="508">
        <f t="shared" si="4"/>
        <v>0</v>
      </c>
      <c r="AG19" s="508">
        <f t="shared" si="4"/>
        <v>0</v>
      </c>
      <c r="AH19" s="508">
        <f t="shared" si="4"/>
        <v>0</v>
      </c>
      <c r="AI19" s="508">
        <f t="shared" si="4"/>
        <v>0</v>
      </c>
      <c r="AJ19" s="508">
        <f t="shared" si="4"/>
        <v>0</v>
      </c>
      <c r="AK19" s="508">
        <f t="shared" si="4"/>
        <v>0</v>
      </c>
      <c r="AL19" s="508">
        <f t="shared" si="4"/>
        <v>0</v>
      </c>
      <c r="AM19" s="508">
        <f t="shared" si="4"/>
        <v>0</v>
      </c>
      <c r="AN19" s="508">
        <f t="shared" si="4"/>
        <v>0</v>
      </c>
      <c r="AO19" s="511">
        <f t="shared" si="4"/>
        <v>85974.27</v>
      </c>
      <c r="AP19" s="508">
        <f t="shared" si="4"/>
        <v>0</v>
      </c>
    </row>
    <row r="20" spans="1:42" ht="45" customHeight="1" x14ac:dyDescent="0.25">
      <c r="A20" s="518" t="s">
        <v>262</v>
      </c>
      <c r="B20" s="518"/>
      <c r="C20" s="518"/>
      <c r="D20" s="518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508"/>
      <c r="V20" s="432"/>
      <c r="W20" s="508"/>
      <c r="X20" s="432"/>
      <c r="Y20" s="508"/>
      <c r="Z20" s="432"/>
      <c r="AA20" s="508"/>
      <c r="AB20" s="432"/>
      <c r="AC20" s="508"/>
      <c r="AD20" s="432"/>
      <c r="AE20" s="508"/>
      <c r="AF20" s="508"/>
      <c r="AG20" s="508"/>
      <c r="AH20" s="508"/>
      <c r="AI20" s="508"/>
      <c r="AJ20" s="508"/>
      <c r="AK20" s="508"/>
      <c r="AL20" s="508"/>
      <c r="AM20" s="508"/>
      <c r="AN20" s="508"/>
      <c r="AO20" s="511"/>
      <c r="AP20" s="508"/>
    </row>
    <row r="21" spans="1:42" ht="45" customHeight="1" x14ac:dyDescent="0.25">
      <c r="A21" s="516" t="s">
        <v>1106</v>
      </c>
      <c r="B21" s="516"/>
      <c r="C21" s="516"/>
      <c r="D21" s="516"/>
      <c r="E21" s="369"/>
      <c r="F21" s="369" t="s">
        <v>1449</v>
      </c>
      <c r="G21" s="369"/>
      <c r="H21" s="189" t="s">
        <v>1107</v>
      </c>
      <c r="I21" s="369">
        <v>2023</v>
      </c>
      <c r="J21" s="379">
        <v>104211.3</v>
      </c>
      <c r="K21" s="375">
        <v>85974.27</v>
      </c>
      <c r="L21" s="374">
        <f t="shared" ref="L21" si="5">J21</f>
        <v>104211.3</v>
      </c>
      <c r="M21" s="374">
        <f t="shared" ref="M21" si="6">L21</f>
        <v>104211.3</v>
      </c>
      <c r="N21" s="369"/>
      <c r="O21" s="369"/>
      <c r="P21" s="369"/>
      <c r="Q21" s="369"/>
      <c r="R21" s="369"/>
      <c r="S21" s="369"/>
      <c r="T21" s="42">
        <v>0</v>
      </c>
      <c r="U21" s="43">
        <v>0</v>
      </c>
      <c r="V21" s="42">
        <v>0</v>
      </c>
      <c r="W21" s="43">
        <v>0</v>
      </c>
      <c r="X21" s="42">
        <v>0</v>
      </c>
      <c r="Y21" s="43">
        <v>0</v>
      </c>
      <c r="Z21" s="42">
        <v>0</v>
      </c>
      <c r="AA21" s="43">
        <v>0</v>
      </c>
      <c r="AB21" s="42">
        <v>0</v>
      </c>
      <c r="AC21" s="43">
        <v>0</v>
      </c>
      <c r="AD21" s="42">
        <v>1</v>
      </c>
      <c r="AE21" s="43">
        <f>J21</f>
        <v>104211.3</v>
      </c>
      <c r="AF21" s="369"/>
      <c r="AG21" s="369"/>
      <c r="AH21" s="369"/>
      <c r="AI21" s="369"/>
      <c r="AJ21" s="369"/>
      <c r="AK21" s="369"/>
      <c r="AL21" s="369"/>
      <c r="AM21" s="369"/>
      <c r="AN21" s="369"/>
      <c r="AO21" s="380">
        <f t="shared" ref="AO21:AO28" si="7">K21</f>
        <v>85974.27</v>
      </c>
      <c r="AP21" s="369"/>
    </row>
    <row r="22" spans="1:42" ht="45" customHeight="1" x14ac:dyDescent="0.25">
      <c r="A22" s="516" t="s">
        <v>1422</v>
      </c>
      <c r="B22" s="516"/>
      <c r="C22" s="516"/>
      <c r="D22" s="516"/>
      <c r="E22" s="369"/>
      <c r="F22" s="369" t="s">
        <v>1450</v>
      </c>
      <c r="G22" s="369"/>
      <c r="H22" s="381" t="s">
        <v>1423</v>
      </c>
      <c r="I22" s="369">
        <v>2024</v>
      </c>
      <c r="J22" s="379">
        <v>27550</v>
      </c>
      <c r="K22" s="375">
        <v>0</v>
      </c>
      <c r="L22" s="374">
        <f t="shared" ref="L22" si="8">J22</f>
        <v>27550</v>
      </c>
      <c r="M22" s="374">
        <f t="shared" ref="M22" si="9">L22</f>
        <v>27550</v>
      </c>
      <c r="N22" s="369"/>
      <c r="O22" s="369"/>
      <c r="P22" s="369"/>
      <c r="Q22" s="369"/>
      <c r="R22" s="369"/>
      <c r="S22" s="369"/>
      <c r="T22" s="42">
        <v>0</v>
      </c>
      <c r="U22" s="43">
        <v>0</v>
      </c>
      <c r="V22" s="42">
        <v>0</v>
      </c>
      <c r="W22" s="43">
        <v>0</v>
      </c>
      <c r="X22" s="42">
        <v>0</v>
      </c>
      <c r="Y22" s="43">
        <v>0</v>
      </c>
      <c r="Z22" s="42">
        <v>1</v>
      </c>
      <c r="AA22" s="43">
        <f t="shared" ref="AA22:AA28" si="10">J22</f>
        <v>27550</v>
      </c>
      <c r="AB22" s="42">
        <v>0</v>
      </c>
      <c r="AC22" s="43">
        <v>0</v>
      </c>
      <c r="AD22" s="42"/>
      <c r="AE22" s="43"/>
      <c r="AF22" s="369"/>
      <c r="AG22" s="369"/>
      <c r="AH22" s="369"/>
      <c r="AI22" s="369"/>
      <c r="AJ22" s="369"/>
      <c r="AK22" s="369"/>
      <c r="AL22" s="369"/>
      <c r="AM22" s="369"/>
      <c r="AN22" s="369"/>
      <c r="AO22" s="380">
        <f t="shared" si="7"/>
        <v>0</v>
      </c>
      <c r="AP22" s="369"/>
    </row>
    <row r="23" spans="1:42" ht="45" customHeight="1" x14ac:dyDescent="0.25">
      <c r="A23" s="516" t="s">
        <v>1424</v>
      </c>
      <c r="B23" s="516"/>
      <c r="C23" s="516"/>
      <c r="D23" s="516"/>
      <c r="E23" s="369"/>
      <c r="F23" s="369" t="s">
        <v>1451</v>
      </c>
      <c r="G23" s="369"/>
      <c r="H23" s="381" t="s">
        <v>1425</v>
      </c>
      <c r="I23" s="369">
        <v>2024</v>
      </c>
      <c r="J23" s="379">
        <v>60299</v>
      </c>
      <c r="K23" s="375">
        <v>0</v>
      </c>
      <c r="L23" s="374">
        <f t="shared" ref="L23" si="11">J23</f>
        <v>60299</v>
      </c>
      <c r="M23" s="374">
        <f t="shared" ref="M23" si="12">L23</f>
        <v>60299</v>
      </c>
      <c r="N23" s="369"/>
      <c r="O23" s="369"/>
      <c r="P23" s="369"/>
      <c r="Q23" s="369"/>
      <c r="R23" s="369"/>
      <c r="S23" s="369"/>
      <c r="T23" s="42">
        <v>0</v>
      </c>
      <c r="U23" s="43">
        <v>0</v>
      </c>
      <c r="V23" s="42">
        <v>0</v>
      </c>
      <c r="W23" s="43">
        <v>0</v>
      </c>
      <c r="X23" s="42">
        <v>0</v>
      </c>
      <c r="Y23" s="43">
        <v>0</v>
      </c>
      <c r="Z23" s="42">
        <v>1</v>
      </c>
      <c r="AA23" s="43">
        <f t="shared" si="10"/>
        <v>60299</v>
      </c>
      <c r="AB23" s="42">
        <v>0</v>
      </c>
      <c r="AC23" s="43">
        <v>0</v>
      </c>
      <c r="AD23" s="42"/>
      <c r="AE23" s="43"/>
      <c r="AF23" s="369"/>
      <c r="AG23" s="369"/>
      <c r="AH23" s="369"/>
      <c r="AI23" s="369"/>
      <c r="AJ23" s="369"/>
      <c r="AK23" s="369"/>
      <c r="AL23" s="369"/>
      <c r="AM23" s="369"/>
      <c r="AN23" s="369"/>
      <c r="AO23" s="380">
        <f t="shared" si="7"/>
        <v>0</v>
      </c>
      <c r="AP23" s="369"/>
    </row>
    <row r="24" spans="1:42" ht="45" customHeight="1" x14ac:dyDescent="0.25">
      <c r="A24" s="516" t="s">
        <v>1426</v>
      </c>
      <c r="B24" s="516"/>
      <c r="C24" s="516"/>
      <c r="D24" s="516"/>
      <c r="E24" s="369"/>
      <c r="F24" s="369" t="s">
        <v>1452</v>
      </c>
      <c r="G24" s="369"/>
      <c r="H24" s="381" t="s">
        <v>1427</v>
      </c>
      <c r="I24" s="369">
        <v>2024</v>
      </c>
      <c r="J24" s="379">
        <v>84990</v>
      </c>
      <c r="K24" s="375">
        <v>0</v>
      </c>
      <c r="L24" s="374">
        <f t="shared" ref="L24" si="13">J24</f>
        <v>84990</v>
      </c>
      <c r="M24" s="374">
        <f t="shared" ref="M24" si="14">L24</f>
        <v>84990</v>
      </c>
      <c r="N24" s="369"/>
      <c r="O24" s="369"/>
      <c r="P24" s="369"/>
      <c r="Q24" s="369"/>
      <c r="R24" s="369"/>
      <c r="S24" s="369"/>
      <c r="T24" s="42">
        <v>0</v>
      </c>
      <c r="U24" s="43">
        <v>0</v>
      </c>
      <c r="V24" s="42">
        <v>0</v>
      </c>
      <c r="W24" s="43">
        <v>0</v>
      </c>
      <c r="X24" s="42">
        <v>0</v>
      </c>
      <c r="Y24" s="43">
        <v>0</v>
      </c>
      <c r="Z24" s="42">
        <v>1</v>
      </c>
      <c r="AA24" s="43">
        <f t="shared" si="10"/>
        <v>84990</v>
      </c>
      <c r="AB24" s="42">
        <v>0</v>
      </c>
      <c r="AC24" s="43">
        <v>0</v>
      </c>
      <c r="AD24" s="42"/>
      <c r="AE24" s="43"/>
      <c r="AF24" s="369"/>
      <c r="AG24" s="369"/>
      <c r="AH24" s="369"/>
      <c r="AI24" s="369"/>
      <c r="AJ24" s="369"/>
      <c r="AK24" s="369"/>
      <c r="AL24" s="369"/>
      <c r="AM24" s="369"/>
      <c r="AN24" s="369"/>
      <c r="AO24" s="380">
        <f t="shared" si="7"/>
        <v>0</v>
      </c>
      <c r="AP24" s="369"/>
    </row>
    <row r="25" spans="1:42" ht="45" customHeight="1" x14ac:dyDescent="0.25">
      <c r="A25" s="516" t="s">
        <v>1428</v>
      </c>
      <c r="B25" s="516"/>
      <c r="C25" s="516"/>
      <c r="D25" s="516"/>
      <c r="E25" s="369"/>
      <c r="F25" s="369" t="s">
        <v>1453</v>
      </c>
      <c r="G25" s="369"/>
      <c r="H25" s="381" t="s">
        <v>1429</v>
      </c>
      <c r="I25" s="369">
        <v>2024</v>
      </c>
      <c r="J25" s="379">
        <v>96940</v>
      </c>
      <c r="K25" s="375">
        <v>0</v>
      </c>
      <c r="L25" s="374">
        <f t="shared" ref="L25" si="15">J25</f>
        <v>96940</v>
      </c>
      <c r="M25" s="374">
        <f t="shared" ref="M25" si="16">L25</f>
        <v>96940</v>
      </c>
      <c r="N25" s="369"/>
      <c r="O25" s="369"/>
      <c r="P25" s="369"/>
      <c r="Q25" s="369"/>
      <c r="R25" s="369"/>
      <c r="S25" s="369"/>
      <c r="T25" s="42">
        <v>0</v>
      </c>
      <c r="U25" s="43">
        <v>0</v>
      </c>
      <c r="V25" s="42">
        <v>0</v>
      </c>
      <c r="W25" s="43">
        <v>0</v>
      </c>
      <c r="X25" s="42">
        <v>0</v>
      </c>
      <c r="Y25" s="43">
        <v>0</v>
      </c>
      <c r="Z25" s="42">
        <v>1</v>
      </c>
      <c r="AA25" s="43">
        <f t="shared" si="10"/>
        <v>96940</v>
      </c>
      <c r="AB25" s="42">
        <v>0</v>
      </c>
      <c r="AC25" s="43">
        <v>0</v>
      </c>
      <c r="AD25" s="42"/>
      <c r="AE25" s="43"/>
      <c r="AF25" s="369"/>
      <c r="AG25" s="369"/>
      <c r="AH25" s="369"/>
      <c r="AI25" s="369"/>
      <c r="AJ25" s="369"/>
      <c r="AK25" s="369"/>
      <c r="AL25" s="369"/>
      <c r="AM25" s="369"/>
      <c r="AN25" s="369"/>
      <c r="AO25" s="380">
        <f t="shared" si="7"/>
        <v>0</v>
      </c>
      <c r="AP25" s="369"/>
    </row>
    <row r="26" spans="1:42" ht="45" customHeight="1" x14ac:dyDescent="0.25">
      <c r="A26" s="516" t="s">
        <v>1430</v>
      </c>
      <c r="B26" s="516"/>
      <c r="C26" s="516"/>
      <c r="D26" s="516"/>
      <c r="E26" s="369"/>
      <c r="F26" s="369" t="s">
        <v>1454</v>
      </c>
      <c r="G26" s="369"/>
      <c r="H26" s="381" t="s">
        <v>1431</v>
      </c>
      <c r="I26" s="369">
        <v>2024</v>
      </c>
      <c r="J26" s="379">
        <v>63530</v>
      </c>
      <c r="K26" s="375">
        <v>0</v>
      </c>
      <c r="L26" s="374">
        <f t="shared" ref="L26" si="17">J26</f>
        <v>63530</v>
      </c>
      <c r="M26" s="374">
        <f t="shared" ref="M26" si="18">L26</f>
        <v>63530</v>
      </c>
      <c r="N26" s="369"/>
      <c r="O26" s="369"/>
      <c r="P26" s="369"/>
      <c r="Q26" s="369"/>
      <c r="R26" s="369"/>
      <c r="S26" s="369"/>
      <c r="T26" s="42">
        <v>0</v>
      </c>
      <c r="U26" s="43">
        <v>0</v>
      </c>
      <c r="V26" s="42">
        <v>0</v>
      </c>
      <c r="W26" s="43">
        <v>0</v>
      </c>
      <c r="X26" s="42">
        <v>0</v>
      </c>
      <c r="Y26" s="43">
        <v>0</v>
      </c>
      <c r="Z26" s="42">
        <v>1</v>
      </c>
      <c r="AA26" s="43">
        <f t="shared" si="10"/>
        <v>63530</v>
      </c>
      <c r="AB26" s="42">
        <v>0</v>
      </c>
      <c r="AC26" s="43">
        <v>0</v>
      </c>
      <c r="AD26" s="42"/>
      <c r="AE26" s="43"/>
      <c r="AF26" s="369"/>
      <c r="AG26" s="369"/>
      <c r="AH26" s="369"/>
      <c r="AI26" s="369"/>
      <c r="AJ26" s="369"/>
      <c r="AK26" s="369"/>
      <c r="AL26" s="369"/>
      <c r="AM26" s="369"/>
      <c r="AN26" s="369"/>
      <c r="AO26" s="380">
        <f t="shared" si="7"/>
        <v>0</v>
      </c>
      <c r="AP26" s="369"/>
    </row>
    <row r="27" spans="1:42" ht="45" customHeight="1" x14ac:dyDescent="0.25">
      <c r="A27" s="516" t="s">
        <v>1430</v>
      </c>
      <c r="B27" s="516"/>
      <c r="C27" s="516"/>
      <c r="D27" s="516"/>
      <c r="E27" s="369"/>
      <c r="F27" s="369" t="s">
        <v>1455</v>
      </c>
      <c r="G27" s="369"/>
      <c r="H27" s="381" t="s">
        <v>1432</v>
      </c>
      <c r="I27" s="369">
        <v>2024</v>
      </c>
      <c r="J27" s="379">
        <v>63530</v>
      </c>
      <c r="K27" s="375">
        <v>0</v>
      </c>
      <c r="L27" s="374">
        <f t="shared" ref="L27" si="19">J27</f>
        <v>63530</v>
      </c>
      <c r="M27" s="374">
        <f t="shared" ref="M27" si="20">L27</f>
        <v>63530</v>
      </c>
      <c r="N27" s="369"/>
      <c r="O27" s="369"/>
      <c r="P27" s="369"/>
      <c r="Q27" s="369"/>
      <c r="R27" s="369"/>
      <c r="S27" s="369"/>
      <c r="T27" s="42">
        <v>0</v>
      </c>
      <c r="U27" s="43">
        <v>0</v>
      </c>
      <c r="V27" s="42">
        <v>0</v>
      </c>
      <c r="W27" s="43">
        <v>0</v>
      </c>
      <c r="X27" s="42">
        <v>0</v>
      </c>
      <c r="Y27" s="43">
        <v>0</v>
      </c>
      <c r="Z27" s="42">
        <v>1</v>
      </c>
      <c r="AA27" s="43">
        <f t="shared" si="10"/>
        <v>63530</v>
      </c>
      <c r="AB27" s="42">
        <v>0</v>
      </c>
      <c r="AC27" s="43">
        <v>0</v>
      </c>
      <c r="AD27" s="42"/>
      <c r="AE27" s="43"/>
      <c r="AF27" s="369"/>
      <c r="AG27" s="369"/>
      <c r="AH27" s="369"/>
      <c r="AI27" s="369"/>
      <c r="AJ27" s="369"/>
      <c r="AK27" s="369"/>
      <c r="AL27" s="369"/>
      <c r="AM27" s="369"/>
      <c r="AN27" s="369"/>
      <c r="AO27" s="380">
        <f t="shared" si="7"/>
        <v>0</v>
      </c>
      <c r="AP27" s="369"/>
    </row>
    <row r="28" spans="1:42" ht="45" customHeight="1" x14ac:dyDescent="0.25">
      <c r="A28" s="516" t="s">
        <v>1424</v>
      </c>
      <c r="B28" s="516"/>
      <c r="C28" s="516"/>
      <c r="D28" s="516"/>
      <c r="E28" s="369"/>
      <c r="F28" s="369" t="s">
        <v>1456</v>
      </c>
      <c r="G28" s="369"/>
      <c r="H28" s="381" t="s">
        <v>1433</v>
      </c>
      <c r="I28" s="369">
        <v>2024</v>
      </c>
      <c r="J28" s="379">
        <v>60299</v>
      </c>
      <c r="K28" s="375">
        <v>0</v>
      </c>
      <c r="L28" s="374">
        <f t="shared" ref="L28" si="21">J28</f>
        <v>60299</v>
      </c>
      <c r="M28" s="374">
        <f t="shared" ref="M28" si="22">L28</f>
        <v>60299</v>
      </c>
      <c r="N28" s="369"/>
      <c r="O28" s="369"/>
      <c r="P28" s="369"/>
      <c r="Q28" s="369"/>
      <c r="R28" s="369"/>
      <c r="S28" s="369"/>
      <c r="T28" s="42">
        <v>0</v>
      </c>
      <c r="U28" s="43">
        <v>0</v>
      </c>
      <c r="V28" s="42">
        <v>0</v>
      </c>
      <c r="W28" s="43">
        <v>0</v>
      </c>
      <c r="X28" s="42">
        <v>0</v>
      </c>
      <c r="Y28" s="43">
        <v>0</v>
      </c>
      <c r="Z28" s="42">
        <v>1</v>
      </c>
      <c r="AA28" s="43">
        <f t="shared" si="10"/>
        <v>60299</v>
      </c>
      <c r="AB28" s="42">
        <v>0</v>
      </c>
      <c r="AC28" s="43">
        <v>0</v>
      </c>
      <c r="AD28" s="42"/>
      <c r="AE28" s="43"/>
      <c r="AF28" s="369"/>
      <c r="AG28" s="369"/>
      <c r="AH28" s="369"/>
      <c r="AI28" s="369"/>
      <c r="AJ28" s="369"/>
      <c r="AK28" s="369"/>
      <c r="AL28" s="369"/>
      <c r="AM28" s="369"/>
      <c r="AN28" s="369"/>
      <c r="AO28" s="380">
        <f t="shared" si="7"/>
        <v>0</v>
      </c>
      <c r="AP28" s="369"/>
    </row>
    <row r="29" spans="1:42" ht="32.25" customHeight="1" x14ac:dyDescent="0.25">
      <c r="A29" s="477" t="s">
        <v>191</v>
      </c>
      <c r="B29" s="477"/>
      <c r="C29" s="477"/>
      <c r="D29" s="477"/>
      <c r="E29" s="369">
        <v>3000</v>
      </c>
      <c r="F29" s="369"/>
      <c r="G29" s="369"/>
      <c r="H29" s="369"/>
      <c r="I29" s="369"/>
      <c r="J29" s="375">
        <f>J30</f>
        <v>601708.94999999995</v>
      </c>
      <c r="K29" s="375"/>
      <c r="L29" s="374">
        <f>J29</f>
        <v>601708.94999999995</v>
      </c>
      <c r="M29" s="374">
        <f>L29</f>
        <v>601708.94999999995</v>
      </c>
      <c r="N29" s="369"/>
      <c r="O29" s="369"/>
      <c r="P29" s="369"/>
      <c r="Q29" s="369"/>
      <c r="R29" s="369"/>
      <c r="S29" s="369"/>
      <c r="T29" s="373"/>
      <c r="U29" s="371"/>
      <c r="V29" s="373"/>
      <c r="W29" s="371"/>
      <c r="X29" s="373"/>
      <c r="Y29" s="371"/>
      <c r="Z29" s="373"/>
      <c r="AA29" s="371"/>
      <c r="AB29" s="373">
        <f>AB32</f>
        <v>25</v>
      </c>
      <c r="AC29" s="371">
        <f>AC30</f>
        <v>601708.94999999995</v>
      </c>
      <c r="AD29" s="373"/>
      <c r="AE29" s="371"/>
      <c r="AF29" s="371"/>
      <c r="AG29" s="371"/>
      <c r="AH29" s="371"/>
      <c r="AI29" s="371"/>
      <c r="AJ29" s="371"/>
      <c r="AK29" s="371"/>
      <c r="AL29" s="371"/>
      <c r="AM29" s="371"/>
      <c r="AN29" s="371"/>
      <c r="AO29" s="371"/>
      <c r="AP29" s="371"/>
    </row>
    <row r="30" spans="1:42" ht="15.75" customHeight="1" x14ac:dyDescent="0.25">
      <c r="A30" s="476" t="s">
        <v>54</v>
      </c>
      <c r="B30" s="476"/>
      <c r="C30" s="476"/>
      <c r="D30" s="476"/>
      <c r="E30" s="432">
        <v>3100</v>
      </c>
      <c r="F30" s="432"/>
      <c r="G30" s="432"/>
      <c r="H30" s="432"/>
      <c r="I30" s="432"/>
      <c r="J30" s="519">
        <f>J32</f>
        <v>601708.94999999995</v>
      </c>
      <c r="K30" s="519">
        <f>K32</f>
        <v>0</v>
      </c>
      <c r="L30" s="517">
        <f>J30</f>
        <v>601708.94999999995</v>
      </c>
      <c r="M30" s="517">
        <f>J30</f>
        <v>601708.94999999995</v>
      </c>
      <c r="N30" s="432"/>
      <c r="O30" s="432"/>
      <c r="P30" s="432"/>
      <c r="Q30" s="432"/>
      <c r="R30" s="432"/>
      <c r="S30" s="432"/>
      <c r="T30" s="514">
        <f>T32</f>
        <v>0</v>
      </c>
      <c r="U30" s="509">
        <f>U32</f>
        <v>0</v>
      </c>
      <c r="V30" s="514">
        <f t="shared" ref="V30:AE30" si="23">V32</f>
        <v>0</v>
      </c>
      <c r="W30" s="509">
        <f t="shared" si="23"/>
        <v>0</v>
      </c>
      <c r="X30" s="514">
        <f t="shared" si="23"/>
        <v>0</v>
      </c>
      <c r="Y30" s="509">
        <f t="shared" si="23"/>
        <v>0</v>
      </c>
      <c r="Z30" s="514">
        <f t="shared" si="23"/>
        <v>0</v>
      </c>
      <c r="AA30" s="509">
        <f t="shared" si="23"/>
        <v>0</v>
      </c>
      <c r="AB30" s="514">
        <f>AB32</f>
        <v>25</v>
      </c>
      <c r="AC30" s="509">
        <f>AC32</f>
        <v>601708.94999999995</v>
      </c>
      <c r="AD30" s="514">
        <f t="shared" si="23"/>
        <v>0</v>
      </c>
      <c r="AE30" s="509">
        <f t="shared" si="23"/>
        <v>0</v>
      </c>
      <c r="AF30" s="509">
        <f t="shared" ref="AF30:AP30" si="24">AF32</f>
        <v>0</v>
      </c>
      <c r="AG30" s="509">
        <f t="shared" si="24"/>
        <v>0</v>
      </c>
      <c r="AH30" s="509">
        <f t="shared" si="24"/>
        <v>0</v>
      </c>
      <c r="AI30" s="509">
        <f t="shared" si="24"/>
        <v>0</v>
      </c>
      <c r="AJ30" s="509">
        <f t="shared" si="24"/>
        <v>0</v>
      </c>
      <c r="AK30" s="509">
        <f t="shared" si="24"/>
        <v>0</v>
      </c>
      <c r="AL30" s="509">
        <f t="shared" si="24"/>
        <v>0</v>
      </c>
      <c r="AM30" s="509">
        <f t="shared" si="24"/>
        <v>0</v>
      </c>
      <c r="AN30" s="509">
        <f t="shared" si="24"/>
        <v>0</v>
      </c>
      <c r="AO30" s="509">
        <f t="shared" si="24"/>
        <v>0</v>
      </c>
      <c r="AP30" s="509">
        <f t="shared" si="24"/>
        <v>0</v>
      </c>
    </row>
    <row r="31" spans="1:42" ht="15" customHeight="1" x14ac:dyDescent="0.25">
      <c r="A31" s="476" t="s">
        <v>188</v>
      </c>
      <c r="B31" s="476"/>
      <c r="C31" s="476"/>
      <c r="D31" s="476"/>
      <c r="E31" s="432"/>
      <c r="F31" s="432"/>
      <c r="G31" s="432"/>
      <c r="H31" s="432"/>
      <c r="I31" s="432"/>
      <c r="J31" s="519"/>
      <c r="K31" s="519"/>
      <c r="L31" s="432"/>
      <c r="M31" s="432"/>
      <c r="N31" s="432"/>
      <c r="O31" s="432"/>
      <c r="P31" s="432"/>
      <c r="Q31" s="432"/>
      <c r="R31" s="432"/>
      <c r="S31" s="432"/>
      <c r="T31" s="515"/>
      <c r="U31" s="510"/>
      <c r="V31" s="515"/>
      <c r="W31" s="510"/>
      <c r="X31" s="515"/>
      <c r="Y31" s="510"/>
      <c r="Z31" s="515"/>
      <c r="AA31" s="510"/>
      <c r="AB31" s="515"/>
      <c r="AC31" s="510"/>
      <c r="AD31" s="515"/>
      <c r="AE31" s="510"/>
      <c r="AF31" s="510"/>
      <c r="AG31" s="510"/>
      <c r="AH31" s="510"/>
      <c r="AI31" s="510"/>
      <c r="AJ31" s="510"/>
      <c r="AK31" s="510"/>
      <c r="AL31" s="510"/>
      <c r="AM31" s="510"/>
      <c r="AN31" s="510"/>
      <c r="AO31" s="510"/>
      <c r="AP31" s="510"/>
    </row>
    <row r="32" spans="1:42" ht="15.75" customHeight="1" x14ac:dyDescent="0.25">
      <c r="A32" s="518" t="s">
        <v>59</v>
      </c>
      <c r="B32" s="518"/>
      <c r="C32" s="518"/>
      <c r="D32" s="518"/>
      <c r="E32" s="432">
        <v>3110</v>
      </c>
      <c r="F32" s="432"/>
      <c r="G32" s="432"/>
      <c r="H32" s="432"/>
      <c r="I32" s="432"/>
      <c r="J32" s="519">
        <f>SUM(J34:J58)</f>
        <v>601708.94999999995</v>
      </c>
      <c r="K32" s="519">
        <f>SUM(K34:K34)</f>
        <v>0</v>
      </c>
      <c r="L32" s="517">
        <f>J32</f>
        <v>601708.94999999995</v>
      </c>
      <c r="M32" s="517">
        <f>L32</f>
        <v>601708.94999999995</v>
      </c>
      <c r="N32" s="432"/>
      <c r="O32" s="432"/>
      <c r="P32" s="432"/>
      <c r="Q32" s="432"/>
      <c r="R32" s="432"/>
      <c r="S32" s="432"/>
      <c r="T32" s="514">
        <f t="shared" ref="T32:AA32" si="25">SUM(T34:T34)</f>
        <v>0</v>
      </c>
      <c r="U32" s="509">
        <f t="shared" si="25"/>
        <v>0</v>
      </c>
      <c r="V32" s="514">
        <f t="shared" si="25"/>
        <v>0</v>
      </c>
      <c r="W32" s="509">
        <f t="shared" si="25"/>
        <v>0</v>
      </c>
      <c r="X32" s="514">
        <f t="shared" si="25"/>
        <v>0</v>
      </c>
      <c r="Y32" s="509">
        <f t="shared" si="25"/>
        <v>0</v>
      </c>
      <c r="Z32" s="514">
        <f t="shared" si="25"/>
        <v>0</v>
      </c>
      <c r="AA32" s="509">
        <f t="shared" si="25"/>
        <v>0</v>
      </c>
      <c r="AB32" s="514">
        <v>25</v>
      </c>
      <c r="AC32" s="509">
        <f>SUM(AC34:AC58)</f>
        <v>601708.94999999995</v>
      </c>
      <c r="AD32" s="514">
        <f t="shared" ref="AD32:AP32" si="26">SUM(AD34:AD34)</f>
        <v>0</v>
      </c>
      <c r="AE32" s="509">
        <f t="shared" si="26"/>
        <v>0</v>
      </c>
      <c r="AF32" s="509">
        <f t="shared" si="26"/>
        <v>0</v>
      </c>
      <c r="AG32" s="509">
        <f t="shared" si="26"/>
        <v>0</v>
      </c>
      <c r="AH32" s="509">
        <f t="shared" si="26"/>
        <v>0</v>
      </c>
      <c r="AI32" s="509">
        <f t="shared" si="26"/>
        <v>0</v>
      </c>
      <c r="AJ32" s="509">
        <f t="shared" si="26"/>
        <v>0</v>
      </c>
      <c r="AK32" s="509">
        <f t="shared" si="26"/>
        <v>0</v>
      </c>
      <c r="AL32" s="509">
        <f t="shared" si="26"/>
        <v>0</v>
      </c>
      <c r="AM32" s="509">
        <f t="shared" si="26"/>
        <v>0</v>
      </c>
      <c r="AN32" s="509">
        <f t="shared" si="26"/>
        <v>0</v>
      </c>
      <c r="AO32" s="509">
        <f t="shared" si="26"/>
        <v>0</v>
      </c>
      <c r="AP32" s="509">
        <f t="shared" si="26"/>
        <v>0</v>
      </c>
    </row>
    <row r="33" spans="1:42" ht="43.5" customHeight="1" x14ac:dyDescent="0.25">
      <c r="A33" s="518" t="s">
        <v>262</v>
      </c>
      <c r="B33" s="518"/>
      <c r="C33" s="518"/>
      <c r="D33" s="518"/>
      <c r="E33" s="432"/>
      <c r="F33" s="432"/>
      <c r="G33" s="432"/>
      <c r="H33" s="432"/>
      <c r="I33" s="432"/>
      <c r="J33" s="519"/>
      <c r="K33" s="519"/>
      <c r="L33" s="432"/>
      <c r="M33" s="432"/>
      <c r="N33" s="432"/>
      <c r="O33" s="432"/>
      <c r="P33" s="432"/>
      <c r="Q33" s="432"/>
      <c r="R33" s="432"/>
      <c r="S33" s="432"/>
      <c r="T33" s="515"/>
      <c r="U33" s="510"/>
      <c r="V33" s="515"/>
      <c r="W33" s="510"/>
      <c r="X33" s="515"/>
      <c r="Y33" s="510"/>
      <c r="Z33" s="515"/>
      <c r="AA33" s="510"/>
      <c r="AB33" s="515"/>
      <c r="AC33" s="510"/>
      <c r="AD33" s="515"/>
      <c r="AE33" s="510"/>
      <c r="AF33" s="510"/>
      <c r="AG33" s="510"/>
      <c r="AH33" s="510"/>
      <c r="AI33" s="510"/>
      <c r="AJ33" s="510"/>
      <c r="AK33" s="510"/>
      <c r="AL33" s="510"/>
      <c r="AM33" s="510"/>
      <c r="AN33" s="510"/>
      <c r="AO33" s="510"/>
      <c r="AP33" s="510"/>
    </row>
    <row r="34" spans="1:42" ht="38.25" x14ac:dyDescent="0.25">
      <c r="A34" s="516" t="s">
        <v>1434</v>
      </c>
      <c r="B34" s="516"/>
      <c r="C34" s="516"/>
      <c r="D34" s="516"/>
      <c r="E34" s="369"/>
      <c r="F34" s="369" t="s">
        <v>1449</v>
      </c>
      <c r="G34" s="369"/>
      <c r="H34" s="189">
        <v>4101360021</v>
      </c>
      <c r="I34" s="369">
        <v>2024</v>
      </c>
      <c r="J34" s="375">
        <v>20190</v>
      </c>
      <c r="K34" s="377">
        <v>0</v>
      </c>
      <c r="L34" s="374">
        <f t="shared" ref="L34:L60" si="27">J34</f>
        <v>20190</v>
      </c>
      <c r="M34" s="374">
        <f t="shared" ref="M34:M58" si="28">L34</f>
        <v>20190</v>
      </c>
      <c r="N34" s="369"/>
      <c r="O34" s="369"/>
      <c r="P34" s="369"/>
      <c r="Q34" s="369"/>
      <c r="R34" s="369"/>
      <c r="S34" s="369"/>
      <c r="T34" s="42">
        <v>0</v>
      </c>
      <c r="U34" s="43">
        <v>0</v>
      </c>
      <c r="V34" s="42">
        <v>0</v>
      </c>
      <c r="W34" s="43">
        <v>0</v>
      </c>
      <c r="X34" s="42">
        <v>0</v>
      </c>
      <c r="Y34" s="43">
        <v>0</v>
      </c>
      <c r="Z34" s="42">
        <v>0</v>
      </c>
      <c r="AA34" s="43">
        <v>0</v>
      </c>
      <c r="AB34" s="42">
        <v>1</v>
      </c>
      <c r="AC34" s="43">
        <f>M34</f>
        <v>20190</v>
      </c>
      <c r="AD34" s="42">
        <v>0</v>
      </c>
      <c r="AE34" s="43">
        <v>0</v>
      </c>
      <c r="AF34" s="369"/>
      <c r="AG34" s="369"/>
      <c r="AH34" s="369"/>
      <c r="AI34" s="369"/>
      <c r="AJ34" s="369"/>
      <c r="AK34" s="369"/>
      <c r="AL34" s="369"/>
      <c r="AM34" s="369"/>
      <c r="AN34" s="369"/>
      <c r="AO34" s="369"/>
      <c r="AP34" s="369"/>
    </row>
    <row r="35" spans="1:42" ht="38.25" x14ac:dyDescent="0.25">
      <c r="A35" s="516" t="s">
        <v>1435</v>
      </c>
      <c r="B35" s="516"/>
      <c r="C35" s="516"/>
      <c r="D35" s="516"/>
      <c r="E35" s="369"/>
      <c r="F35" s="369" t="s">
        <v>1450</v>
      </c>
      <c r="G35" s="369"/>
      <c r="H35" s="189">
        <v>4101360022</v>
      </c>
      <c r="I35" s="369">
        <v>2024</v>
      </c>
      <c r="J35" s="375">
        <v>24000</v>
      </c>
      <c r="K35" s="377">
        <v>0</v>
      </c>
      <c r="L35" s="374">
        <f t="shared" si="27"/>
        <v>24000</v>
      </c>
      <c r="M35" s="374">
        <f t="shared" si="28"/>
        <v>24000</v>
      </c>
      <c r="N35" s="369"/>
      <c r="O35" s="369"/>
      <c r="P35" s="369"/>
      <c r="Q35" s="369"/>
      <c r="R35" s="369"/>
      <c r="S35" s="369"/>
      <c r="T35" s="42">
        <v>0</v>
      </c>
      <c r="U35" s="43">
        <v>0</v>
      </c>
      <c r="V35" s="42">
        <v>0</v>
      </c>
      <c r="W35" s="43">
        <v>0</v>
      </c>
      <c r="X35" s="42">
        <v>0</v>
      </c>
      <c r="Y35" s="43">
        <v>0</v>
      </c>
      <c r="Z35" s="42">
        <v>0</v>
      </c>
      <c r="AA35" s="43">
        <v>0</v>
      </c>
      <c r="AB35" s="42">
        <v>1</v>
      </c>
      <c r="AC35" s="43">
        <f t="shared" ref="AC35:AC58" si="29">M35</f>
        <v>24000</v>
      </c>
      <c r="AD35" s="42">
        <v>0</v>
      </c>
      <c r="AE35" s="43">
        <v>0</v>
      </c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</row>
    <row r="36" spans="1:42" ht="38.25" x14ac:dyDescent="0.25">
      <c r="A36" s="516" t="s">
        <v>1436</v>
      </c>
      <c r="B36" s="516"/>
      <c r="C36" s="516"/>
      <c r="D36" s="516"/>
      <c r="E36" s="369"/>
      <c r="F36" s="369" t="s">
        <v>1451</v>
      </c>
      <c r="G36" s="369"/>
      <c r="H36" s="189">
        <v>4101360012</v>
      </c>
      <c r="I36" s="369">
        <v>2024</v>
      </c>
      <c r="J36" s="375">
        <v>23190</v>
      </c>
      <c r="K36" s="377">
        <v>0</v>
      </c>
      <c r="L36" s="374">
        <f t="shared" si="27"/>
        <v>23190</v>
      </c>
      <c r="M36" s="374">
        <f t="shared" si="28"/>
        <v>23190</v>
      </c>
      <c r="N36" s="369"/>
      <c r="O36" s="369"/>
      <c r="P36" s="369"/>
      <c r="Q36" s="369"/>
      <c r="R36" s="369"/>
      <c r="S36" s="369"/>
      <c r="T36" s="42">
        <v>0</v>
      </c>
      <c r="U36" s="43">
        <v>0</v>
      </c>
      <c r="V36" s="42">
        <v>0</v>
      </c>
      <c r="W36" s="43">
        <v>0</v>
      </c>
      <c r="X36" s="42">
        <v>0</v>
      </c>
      <c r="Y36" s="43">
        <v>0</v>
      </c>
      <c r="Z36" s="42">
        <v>0</v>
      </c>
      <c r="AA36" s="43">
        <v>0</v>
      </c>
      <c r="AB36" s="42">
        <v>1</v>
      </c>
      <c r="AC36" s="43">
        <f t="shared" si="29"/>
        <v>23190</v>
      </c>
      <c r="AD36" s="42">
        <v>0</v>
      </c>
      <c r="AE36" s="43">
        <v>0</v>
      </c>
      <c r="AF36" s="369"/>
      <c r="AG36" s="369"/>
      <c r="AH36" s="369"/>
      <c r="AI36" s="369"/>
      <c r="AJ36" s="369"/>
      <c r="AK36" s="369"/>
      <c r="AL36" s="369"/>
      <c r="AM36" s="369"/>
      <c r="AN36" s="369"/>
      <c r="AO36" s="369"/>
      <c r="AP36" s="369"/>
    </row>
    <row r="37" spans="1:42" ht="38.25" x14ac:dyDescent="0.25">
      <c r="A37" s="516" t="s">
        <v>1437</v>
      </c>
      <c r="B37" s="516"/>
      <c r="C37" s="516"/>
      <c r="D37" s="516"/>
      <c r="E37" s="369"/>
      <c r="F37" s="369" t="s">
        <v>1452</v>
      </c>
      <c r="G37" s="369"/>
      <c r="H37" s="189">
        <v>4101360013</v>
      </c>
      <c r="I37" s="369">
        <v>2024</v>
      </c>
      <c r="J37" s="375">
        <v>39900</v>
      </c>
      <c r="K37" s="377">
        <v>0</v>
      </c>
      <c r="L37" s="374">
        <f t="shared" si="27"/>
        <v>39900</v>
      </c>
      <c r="M37" s="374">
        <f t="shared" si="28"/>
        <v>39900</v>
      </c>
      <c r="N37" s="369"/>
      <c r="O37" s="369"/>
      <c r="P37" s="369"/>
      <c r="Q37" s="369"/>
      <c r="R37" s="369"/>
      <c r="S37" s="369"/>
      <c r="T37" s="42">
        <v>0</v>
      </c>
      <c r="U37" s="43">
        <v>0</v>
      </c>
      <c r="V37" s="42">
        <v>0</v>
      </c>
      <c r="W37" s="43">
        <v>0</v>
      </c>
      <c r="X37" s="42">
        <v>0</v>
      </c>
      <c r="Y37" s="43">
        <v>0</v>
      </c>
      <c r="Z37" s="42">
        <v>0</v>
      </c>
      <c r="AA37" s="43">
        <v>0</v>
      </c>
      <c r="AB37" s="42">
        <v>1</v>
      </c>
      <c r="AC37" s="43">
        <f t="shared" si="29"/>
        <v>39900</v>
      </c>
      <c r="AD37" s="42">
        <v>0</v>
      </c>
      <c r="AE37" s="43">
        <v>0</v>
      </c>
      <c r="AF37" s="369"/>
      <c r="AG37" s="369"/>
      <c r="AH37" s="369"/>
      <c r="AI37" s="369"/>
      <c r="AJ37" s="369"/>
      <c r="AK37" s="369"/>
      <c r="AL37" s="369"/>
      <c r="AM37" s="369"/>
      <c r="AN37" s="369"/>
      <c r="AO37" s="369"/>
      <c r="AP37" s="369"/>
    </row>
    <row r="38" spans="1:42" ht="38.25" x14ac:dyDescent="0.25">
      <c r="A38" s="516" t="s">
        <v>1437</v>
      </c>
      <c r="B38" s="516"/>
      <c r="C38" s="516"/>
      <c r="D38" s="516"/>
      <c r="E38" s="369"/>
      <c r="F38" s="369" t="s">
        <v>1453</v>
      </c>
      <c r="G38" s="369"/>
      <c r="H38" s="189">
        <v>4101360014</v>
      </c>
      <c r="I38" s="369">
        <v>2024</v>
      </c>
      <c r="J38" s="375">
        <v>39900</v>
      </c>
      <c r="K38" s="377">
        <v>0</v>
      </c>
      <c r="L38" s="374">
        <f t="shared" si="27"/>
        <v>39900</v>
      </c>
      <c r="M38" s="374">
        <f t="shared" si="28"/>
        <v>39900</v>
      </c>
      <c r="N38" s="369"/>
      <c r="O38" s="369"/>
      <c r="P38" s="369"/>
      <c r="Q38" s="369"/>
      <c r="R38" s="369"/>
      <c r="S38" s="369"/>
      <c r="T38" s="42">
        <v>0</v>
      </c>
      <c r="U38" s="43">
        <v>0</v>
      </c>
      <c r="V38" s="42">
        <v>0</v>
      </c>
      <c r="W38" s="43">
        <v>0</v>
      </c>
      <c r="X38" s="42">
        <v>0</v>
      </c>
      <c r="Y38" s="43">
        <v>0</v>
      </c>
      <c r="Z38" s="42">
        <v>0</v>
      </c>
      <c r="AA38" s="43">
        <v>0</v>
      </c>
      <c r="AB38" s="42">
        <v>1</v>
      </c>
      <c r="AC38" s="43">
        <f t="shared" si="29"/>
        <v>39900</v>
      </c>
      <c r="AD38" s="42">
        <v>0</v>
      </c>
      <c r="AE38" s="43">
        <v>0</v>
      </c>
      <c r="AF38" s="369"/>
      <c r="AG38" s="369"/>
      <c r="AH38" s="369"/>
      <c r="AI38" s="369"/>
      <c r="AJ38" s="369"/>
      <c r="AK38" s="369"/>
      <c r="AL38" s="369"/>
      <c r="AM38" s="369"/>
      <c r="AN38" s="369"/>
      <c r="AO38" s="369"/>
      <c r="AP38" s="369"/>
    </row>
    <row r="39" spans="1:42" ht="38.25" x14ac:dyDescent="0.25">
      <c r="A39" s="516" t="s">
        <v>1438</v>
      </c>
      <c r="B39" s="516"/>
      <c r="C39" s="516"/>
      <c r="D39" s="516"/>
      <c r="E39" s="369"/>
      <c r="F39" s="369" t="s">
        <v>1454</v>
      </c>
      <c r="G39" s="369"/>
      <c r="H39" s="189">
        <v>4101360047</v>
      </c>
      <c r="I39" s="369">
        <v>2024</v>
      </c>
      <c r="J39" s="375">
        <v>33660</v>
      </c>
      <c r="K39" s="377">
        <v>0</v>
      </c>
      <c r="L39" s="374">
        <f t="shared" si="27"/>
        <v>33660</v>
      </c>
      <c r="M39" s="374">
        <f t="shared" si="28"/>
        <v>33660</v>
      </c>
      <c r="N39" s="369"/>
      <c r="O39" s="369"/>
      <c r="P39" s="369"/>
      <c r="Q39" s="369"/>
      <c r="R39" s="369"/>
      <c r="S39" s="369"/>
      <c r="T39" s="42">
        <v>0</v>
      </c>
      <c r="U39" s="43">
        <v>0</v>
      </c>
      <c r="V39" s="42">
        <v>0</v>
      </c>
      <c r="W39" s="43">
        <v>0</v>
      </c>
      <c r="X39" s="42">
        <v>0</v>
      </c>
      <c r="Y39" s="43">
        <v>0</v>
      </c>
      <c r="Z39" s="42">
        <v>0</v>
      </c>
      <c r="AA39" s="43">
        <v>0</v>
      </c>
      <c r="AB39" s="42">
        <v>1</v>
      </c>
      <c r="AC39" s="43">
        <f t="shared" si="29"/>
        <v>33660</v>
      </c>
      <c r="AD39" s="42">
        <v>0</v>
      </c>
      <c r="AE39" s="43">
        <v>0</v>
      </c>
      <c r="AF39" s="369"/>
      <c r="AG39" s="369"/>
      <c r="AH39" s="369"/>
      <c r="AI39" s="369"/>
      <c r="AJ39" s="369"/>
      <c r="AK39" s="369"/>
      <c r="AL39" s="369"/>
      <c r="AM39" s="369"/>
      <c r="AN39" s="369"/>
      <c r="AO39" s="369"/>
      <c r="AP39" s="369"/>
    </row>
    <row r="40" spans="1:42" ht="38.25" x14ac:dyDescent="0.25">
      <c r="A40" s="516" t="s">
        <v>1438</v>
      </c>
      <c r="B40" s="516"/>
      <c r="C40" s="516"/>
      <c r="D40" s="516"/>
      <c r="E40" s="369"/>
      <c r="F40" s="369" t="s">
        <v>1455</v>
      </c>
      <c r="G40" s="369"/>
      <c r="H40" s="189">
        <v>4101360048</v>
      </c>
      <c r="I40" s="369">
        <v>2024</v>
      </c>
      <c r="J40" s="375">
        <v>33660</v>
      </c>
      <c r="K40" s="377">
        <v>0</v>
      </c>
      <c r="L40" s="374">
        <f t="shared" si="27"/>
        <v>33660</v>
      </c>
      <c r="M40" s="374">
        <f t="shared" si="28"/>
        <v>33660</v>
      </c>
      <c r="N40" s="369"/>
      <c r="O40" s="369"/>
      <c r="P40" s="369"/>
      <c r="Q40" s="369"/>
      <c r="R40" s="369"/>
      <c r="S40" s="369"/>
      <c r="T40" s="42">
        <v>0</v>
      </c>
      <c r="U40" s="43">
        <v>0</v>
      </c>
      <c r="V40" s="42">
        <v>0</v>
      </c>
      <c r="W40" s="43">
        <v>0</v>
      </c>
      <c r="X40" s="42">
        <v>0</v>
      </c>
      <c r="Y40" s="43">
        <v>0</v>
      </c>
      <c r="Z40" s="42">
        <v>0</v>
      </c>
      <c r="AA40" s="43">
        <v>0</v>
      </c>
      <c r="AB40" s="42">
        <v>1</v>
      </c>
      <c r="AC40" s="43">
        <f t="shared" si="29"/>
        <v>33660</v>
      </c>
      <c r="AD40" s="42">
        <v>0</v>
      </c>
      <c r="AE40" s="43">
        <v>0</v>
      </c>
      <c r="AF40" s="369"/>
      <c r="AG40" s="369"/>
      <c r="AH40" s="369"/>
      <c r="AI40" s="369"/>
      <c r="AJ40" s="369"/>
      <c r="AK40" s="369"/>
      <c r="AL40" s="369"/>
      <c r="AM40" s="369"/>
      <c r="AN40" s="369"/>
      <c r="AO40" s="369"/>
      <c r="AP40" s="369"/>
    </row>
    <row r="41" spans="1:42" ht="38.25" x14ac:dyDescent="0.25">
      <c r="A41" s="516" t="s">
        <v>1438</v>
      </c>
      <c r="B41" s="516"/>
      <c r="C41" s="516"/>
      <c r="D41" s="516"/>
      <c r="E41" s="369"/>
      <c r="F41" s="369" t="s">
        <v>1456</v>
      </c>
      <c r="G41" s="369"/>
      <c r="H41" s="189">
        <v>4101360049</v>
      </c>
      <c r="I41" s="369">
        <v>2024</v>
      </c>
      <c r="J41" s="375">
        <v>33660</v>
      </c>
      <c r="K41" s="377">
        <v>0</v>
      </c>
      <c r="L41" s="374">
        <f t="shared" si="27"/>
        <v>33660</v>
      </c>
      <c r="M41" s="374">
        <f t="shared" si="28"/>
        <v>33660</v>
      </c>
      <c r="N41" s="369"/>
      <c r="O41" s="369"/>
      <c r="P41" s="369"/>
      <c r="Q41" s="369"/>
      <c r="R41" s="369"/>
      <c r="S41" s="369"/>
      <c r="T41" s="42">
        <v>0</v>
      </c>
      <c r="U41" s="43">
        <v>0</v>
      </c>
      <c r="V41" s="42">
        <v>0</v>
      </c>
      <c r="W41" s="43">
        <v>0</v>
      </c>
      <c r="X41" s="42">
        <v>0</v>
      </c>
      <c r="Y41" s="43">
        <v>0</v>
      </c>
      <c r="Z41" s="42">
        <v>0</v>
      </c>
      <c r="AA41" s="43">
        <v>0</v>
      </c>
      <c r="AB41" s="42">
        <v>1</v>
      </c>
      <c r="AC41" s="43">
        <f t="shared" si="29"/>
        <v>33660</v>
      </c>
      <c r="AD41" s="42">
        <v>0</v>
      </c>
      <c r="AE41" s="43">
        <v>0</v>
      </c>
      <c r="AF41" s="369"/>
      <c r="AG41" s="369"/>
      <c r="AH41" s="369"/>
      <c r="AI41" s="369"/>
      <c r="AJ41" s="369"/>
      <c r="AK41" s="369"/>
      <c r="AL41" s="369"/>
      <c r="AM41" s="369"/>
      <c r="AN41" s="369"/>
      <c r="AO41" s="369"/>
      <c r="AP41" s="369"/>
    </row>
    <row r="42" spans="1:42" ht="38.25" x14ac:dyDescent="0.25">
      <c r="A42" s="516" t="s">
        <v>1439</v>
      </c>
      <c r="B42" s="516"/>
      <c r="C42" s="516"/>
      <c r="D42" s="516"/>
      <c r="E42" s="369"/>
      <c r="F42" s="369" t="s">
        <v>1457</v>
      </c>
      <c r="G42" s="369"/>
      <c r="H42" s="189">
        <v>4101360050</v>
      </c>
      <c r="I42" s="369">
        <v>2024</v>
      </c>
      <c r="J42" s="375">
        <v>26100</v>
      </c>
      <c r="K42" s="377">
        <v>0</v>
      </c>
      <c r="L42" s="374">
        <f t="shared" si="27"/>
        <v>26100</v>
      </c>
      <c r="M42" s="374">
        <f t="shared" si="28"/>
        <v>26100</v>
      </c>
      <c r="N42" s="369"/>
      <c r="O42" s="369"/>
      <c r="P42" s="369"/>
      <c r="Q42" s="369"/>
      <c r="R42" s="369"/>
      <c r="S42" s="369"/>
      <c r="T42" s="42">
        <v>0</v>
      </c>
      <c r="U42" s="43">
        <v>0</v>
      </c>
      <c r="V42" s="42">
        <v>0</v>
      </c>
      <c r="W42" s="43">
        <v>0</v>
      </c>
      <c r="X42" s="42">
        <v>0</v>
      </c>
      <c r="Y42" s="43">
        <v>0</v>
      </c>
      <c r="Z42" s="42">
        <v>0</v>
      </c>
      <c r="AA42" s="43">
        <v>0</v>
      </c>
      <c r="AB42" s="42">
        <v>1</v>
      </c>
      <c r="AC42" s="43">
        <f t="shared" si="29"/>
        <v>26100</v>
      </c>
      <c r="AD42" s="42">
        <v>0</v>
      </c>
      <c r="AE42" s="43">
        <v>0</v>
      </c>
      <c r="AF42" s="369"/>
      <c r="AG42" s="369"/>
      <c r="AH42" s="369"/>
      <c r="AI42" s="369"/>
      <c r="AJ42" s="369"/>
      <c r="AK42" s="369"/>
      <c r="AL42" s="369"/>
      <c r="AM42" s="369"/>
      <c r="AN42" s="369"/>
      <c r="AO42" s="369"/>
      <c r="AP42" s="369"/>
    </row>
    <row r="43" spans="1:42" ht="38.25" x14ac:dyDescent="0.25">
      <c r="A43" s="516" t="s">
        <v>1440</v>
      </c>
      <c r="B43" s="516"/>
      <c r="C43" s="516"/>
      <c r="D43" s="516"/>
      <c r="E43" s="369"/>
      <c r="F43" s="369" t="s">
        <v>1458</v>
      </c>
      <c r="G43" s="369"/>
      <c r="H43" s="189">
        <v>4101360051</v>
      </c>
      <c r="I43" s="369">
        <v>2024</v>
      </c>
      <c r="J43" s="375">
        <v>35870</v>
      </c>
      <c r="K43" s="377">
        <v>0</v>
      </c>
      <c r="L43" s="374">
        <f t="shared" si="27"/>
        <v>35870</v>
      </c>
      <c r="M43" s="374">
        <f t="shared" si="28"/>
        <v>35870</v>
      </c>
      <c r="N43" s="369"/>
      <c r="O43" s="369"/>
      <c r="P43" s="369"/>
      <c r="Q43" s="369"/>
      <c r="R43" s="369"/>
      <c r="S43" s="369"/>
      <c r="T43" s="42">
        <v>0</v>
      </c>
      <c r="U43" s="43">
        <v>0</v>
      </c>
      <c r="V43" s="42">
        <v>0</v>
      </c>
      <c r="W43" s="43">
        <v>0</v>
      </c>
      <c r="X43" s="42">
        <v>0</v>
      </c>
      <c r="Y43" s="43">
        <v>0</v>
      </c>
      <c r="Z43" s="42">
        <v>0</v>
      </c>
      <c r="AA43" s="43">
        <v>0</v>
      </c>
      <c r="AB43" s="42">
        <v>1</v>
      </c>
      <c r="AC43" s="43">
        <f t="shared" si="29"/>
        <v>35870</v>
      </c>
      <c r="AD43" s="42">
        <v>0</v>
      </c>
      <c r="AE43" s="43">
        <v>0</v>
      </c>
      <c r="AF43" s="369"/>
      <c r="AG43" s="369"/>
      <c r="AH43" s="369"/>
      <c r="AI43" s="369"/>
      <c r="AJ43" s="369"/>
      <c r="AK43" s="369"/>
      <c r="AL43" s="369"/>
      <c r="AM43" s="369"/>
      <c r="AN43" s="369"/>
      <c r="AO43" s="369"/>
      <c r="AP43" s="369"/>
    </row>
    <row r="44" spans="1:42" ht="38.25" x14ac:dyDescent="0.25">
      <c r="A44" s="516" t="s">
        <v>1441</v>
      </c>
      <c r="B44" s="516"/>
      <c r="C44" s="516"/>
      <c r="D44" s="516"/>
      <c r="E44" s="369"/>
      <c r="F44" s="369" t="s">
        <v>1459</v>
      </c>
      <c r="G44" s="369"/>
      <c r="H44" s="189">
        <v>4101360025</v>
      </c>
      <c r="I44" s="369">
        <v>2024</v>
      </c>
      <c r="J44" s="375">
        <v>27000</v>
      </c>
      <c r="K44" s="377">
        <v>0</v>
      </c>
      <c r="L44" s="374">
        <f t="shared" si="27"/>
        <v>27000</v>
      </c>
      <c r="M44" s="374">
        <f t="shared" si="28"/>
        <v>27000</v>
      </c>
      <c r="N44" s="369"/>
      <c r="O44" s="369"/>
      <c r="P44" s="369"/>
      <c r="Q44" s="369"/>
      <c r="R44" s="369"/>
      <c r="S44" s="369"/>
      <c r="T44" s="42">
        <v>0</v>
      </c>
      <c r="U44" s="43">
        <v>0</v>
      </c>
      <c r="V44" s="42">
        <v>0</v>
      </c>
      <c r="W44" s="43">
        <v>0</v>
      </c>
      <c r="X44" s="42">
        <v>0</v>
      </c>
      <c r="Y44" s="43">
        <v>0</v>
      </c>
      <c r="Z44" s="42">
        <v>0</v>
      </c>
      <c r="AA44" s="43">
        <v>0</v>
      </c>
      <c r="AB44" s="42">
        <v>1</v>
      </c>
      <c r="AC44" s="43">
        <f t="shared" si="29"/>
        <v>27000</v>
      </c>
      <c r="AD44" s="42">
        <v>0</v>
      </c>
      <c r="AE44" s="43">
        <v>0</v>
      </c>
      <c r="AF44" s="369"/>
      <c r="AG44" s="369"/>
      <c r="AH44" s="369"/>
      <c r="AI44" s="369"/>
      <c r="AJ44" s="369"/>
      <c r="AK44" s="369"/>
      <c r="AL44" s="369"/>
      <c r="AM44" s="369"/>
      <c r="AN44" s="369"/>
      <c r="AO44" s="369"/>
      <c r="AP44" s="369"/>
    </row>
    <row r="45" spans="1:42" ht="38.25" x14ac:dyDescent="0.25">
      <c r="A45" s="516" t="s">
        <v>1442</v>
      </c>
      <c r="B45" s="516"/>
      <c r="C45" s="516"/>
      <c r="D45" s="516"/>
      <c r="E45" s="369"/>
      <c r="F45" s="369" t="s">
        <v>1460</v>
      </c>
      <c r="G45" s="369"/>
      <c r="H45" s="189">
        <v>4101360026</v>
      </c>
      <c r="I45" s="369">
        <v>2024</v>
      </c>
      <c r="J45" s="375">
        <v>28800</v>
      </c>
      <c r="K45" s="377">
        <v>0</v>
      </c>
      <c r="L45" s="374">
        <f t="shared" si="27"/>
        <v>28800</v>
      </c>
      <c r="M45" s="374">
        <f t="shared" si="28"/>
        <v>28800</v>
      </c>
      <c r="N45" s="369"/>
      <c r="O45" s="369"/>
      <c r="P45" s="369"/>
      <c r="Q45" s="369"/>
      <c r="R45" s="369"/>
      <c r="S45" s="369"/>
      <c r="T45" s="42">
        <v>0</v>
      </c>
      <c r="U45" s="43">
        <v>0</v>
      </c>
      <c r="V45" s="42">
        <v>0</v>
      </c>
      <c r="W45" s="43">
        <v>0</v>
      </c>
      <c r="X45" s="42">
        <v>0</v>
      </c>
      <c r="Y45" s="43">
        <v>0</v>
      </c>
      <c r="Z45" s="42">
        <v>0</v>
      </c>
      <c r="AA45" s="43">
        <v>0</v>
      </c>
      <c r="AB45" s="42">
        <v>1</v>
      </c>
      <c r="AC45" s="43">
        <f t="shared" si="29"/>
        <v>28800</v>
      </c>
      <c r="AD45" s="42">
        <v>0</v>
      </c>
      <c r="AE45" s="43">
        <v>0</v>
      </c>
      <c r="AF45" s="369"/>
      <c r="AG45" s="369"/>
      <c r="AH45" s="369"/>
      <c r="AI45" s="369"/>
      <c r="AJ45" s="369"/>
      <c r="AK45" s="369"/>
      <c r="AL45" s="369"/>
      <c r="AM45" s="369"/>
      <c r="AN45" s="369"/>
      <c r="AO45" s="369"/>
      <c r="AP45" s="369"/>
    </row>
    <row r="46" spans="1:42" ht="38.25" x14ac:dyDescent="0.25">
      <c r="A46" s="516" t="s">
        <v>1443</v>
      </c>
      <c r="B46" s="516"/>
      <c r="C46" s="516"/>
      <c r="D46" s="516"/>
      <c r="E46" s="369"/>
      <c r="F46" s="369" t="s">
        <v>1461</v>
      </c>
      <c r="G46" s="369"/>
      <c r="H46" s="189">
        <v>4101360027</v>
      </c>
      <c r="I46" s="369">
        <v>2024</v>
      </c>
      <c r="J46" s="375">
        <v>13400</v>
      </c>
      <c r="K46" s="377">
        <v>0</v>
      </c>
      <c r="L46" s="374">
        <f t="shared" si="27"/>
        <v>13400</v>
      </c>
      <c r="M46" s="374">
        <f t="shared" si="28"/>
        <v>13400</v>
      </c>
      <c r="N46" s="369"/>
      <c r="O46" s="369"/>
      <c r="P46" s="369"/>
      <c r="Q46" s="369"/>
      <c r="R46" s="369"/>
      <c r="S46" s="369"/>
      <c r="T46" s="42">
        <v>0</v>
      </c>
      <c r="U46" s="43">
        <v>0</v>
      </c>
      <c r="V46" s="42">
        <v>0</v>
      </c>
      <c r="W46" s="43">
        <v>0</v>
      </c>
      <c r="X46" s="42">
        <v>0</v>
      </c>
      <c r="Y46" s="43">
        <v>0</v>
      </c>
      <c r="Z46" s="42">
        <v>0</v>
      </c>
      <c r="AA46" s="43">
        <v>0</v>
      </c>
      <c r="AB46" s="42">
        <v>1</v>
      </c>
      <c r="AC46" s="43">
        <f t="shared" si="29"/>
        <v>13400</v>
      </c>
      <c r="AD46" s="42">
        <v>0</v>
      </c>
      <c r="AE46" s="43">
        <v>0</v>
      </c>
      <c r="AF46" s="369"/>
      <c r="AG46" s="369"/>
      <c r="AH46" s="369"/>
      <c r="AI46" s="369"/>
      <c r="AJ46" s="369"/>
      <c r="AK46" s="369"/>
      <c r="AL46" s="369"/>
      <c r="AM46" s="369"/>
      <c r="AN46" s="369"/>
      <c r="AO46" s="369"/>
      <c r="AP46" s="369"/>
    </row>
    <row r="47" spans="1:42" ht="38.25" x14ac:dyDescent="0.25">
      <c r="A47" s="516" t="s">
        <v>1444</v>
      </c>
      <c r="B47" s="516"/>
      <c r="C47" s="516"/>
      <c r="D47" s="516"/>
      <c r="E47" s="369"/>
      <c r="F47" s="369" t="s">
        <v>1462</v>
      </c>
      <c r="G47" s="369"/>
      <c r="H47" s="189">
        <v>4101360028</v>
      </c>
      <c r="I47" s="369">
        <v>2024</v>
      </c>
      <c r="J47" s="375">
        <v>11834</v>
      </c>
      <c r="K47" s="377">
        <v>0</v>
      </c>
      <c r="L47" s="374">
        <f t="shared" si="27"/>
        <v>11834</v>
      </c>
      <c r="M47" s="374">
        <f t="shared" si="28"/>
        <v>11834</v>
      </c>
      <c r="N47" s="369"/>
      <c r="O47" s="369"/>
      <c r="P47" s="369"/>
      <c r="Q47" s="369"/>
      <c r="R47" s="369"/>
      <c r="S47" s="369"/>
      <c r="T47" s="42">
        <v>0</v>
      </c>
      <c r="U47" s="43">
        <v>0</v>
      </c>
      <c r="V47" s="42">
        <v>0</v>
      </c>
      <c r="W47" s="43">
        <v>0</v>
      </c>
      <c r="X47" s="42">
        <v>0</v>
      </c>
      <c r="Y47" s="43">
        <v>0</v>
      </c>
      <c r="Z47" s="42">
        <v>0</v>
      </c>
      <c r="AA47" s="43">
        <v>0</v>
      </c>
      <c r="AB47" s="42">
        <v>1</v>
      </c>
      <c r="AC47" s="43">
        <f t="shared" si="29"/>
        <v>11834</v>
      </c>
      <c r="AD47" s="42">
        <v>0</v>
      </c>
      <c r="AE47" s="43">
        <v>0</v>
      </c>
      <c r="AF47" s="369"/>
      <c r="AG47" s="369"/>
      <c r="AH47" s="369"/>
      <c r="AI47" s="369"/>
      <c r="AJ47" s="369"/>
      <c r="AK47" s="369"/>
      <c r="AL47" s="369"/>
      <c r="AM47" s="369"/>
      <c r="AN47" s="369"/>
      <c r="AO47" s="369"/>
      <c r="AP47" s="369"/>
    </row>
    <row r="48" spans="1:42" ht="38.25" x14ac:dyDescent="0.25">
      <c r="A48" s="516" t="s">
        <v>1444</v>
      </c>
      <c r="B48" s="516"/>
      <c r="C48" s="516"/>
      <c r="D48" s="516"/>
      <c r="E48" s="369"/>
      <c r="F48" s="369" t="s">
        <v>1463</v>
      </c>
      <c r="G48" s="369"/>
      <c r="H48" s="189">
        <v>4101360029</v>
      </c>
      <c r="I48" s="369">
        <v>2024</v>
      </c>
      <c r="J48" s="375">
        <v>11834</v>
      </c>
      <c r="K48" s="377">
        <v>0</v>
      </c>
      <c r="L48" s="374">
        <f t="shared" si="27"/>
        <v>11834</v>
      </c>
      <c r="M48" s="374">
        <f t="shared" si="28"/>
        <v>11834</v>
      </c>
      <c r="N48" s="369"/>
      <c r="O48" s="369"/>
      <c r="P48" s="369"/>
      <c r="Q48" s="369"/>
      <c r="R48" s="369"/>
      <c r="S48" s="369"/>
      <c r="T48" s="42">
        <v>0</v>
      </c>
      <c r="U48" s="43">
        <v>0</v>
      </c>
      <c r="V48" s="42">
        <v>0</v>
      </c>
      <c r="W48" s="43">
        <v>0</v>
      </c>
      <c r="X48" s="42">
        <v>0</v>
      </c>
      <c r="Y48" s="43">
        <v>0</v>
      </c>
      <c r="Z48" s="42">
        <v>0</v>
      </c>
      <c r="AA48" s="43">
        <v>0</v>
      </c>
      <c r="AB48" s="42">
        <v>1</v>
      </c>
      <c r="AC48" s="43">
        <f t="shared" si="29"/>
        <v>11834</v>
      </c>
      <c r="AD48" s="42">
        <v>0</v>
      </c>
      <c r="AE48" s="43">
        <v>0</v>
      </c>
      <c r="AF48" s="369"/>
      <c r="AG48" s="369"/>
      <c r="AH48" s="369"/>
      <c r="AI48" s="369"/>
      <c r="AJ48" s="369"/>
      <c r="AK48" s="369"/>
      <c r="AL48" s="369"/>
      <c r="AM48" s="369"/>
      <c r="AN48" s="369"/>
      <c r="AO48" s="369"/>
      <c r="AP48" s="369"/>
    </row>
    <row r="49" spans="1:42" ht="38.25" x14ac:dyDescent="0.25">
      <c r="A49" s="516" t="s">
        <v>1444</v>
      </c>
      <c r="B49" s="516"/>
      <c r="C49" s="516"/>
      <c r="D49" s="516"/>
      <c r="E49" s="369"/>
      <c r="F49" s="369" t="s">
        <v>1464</v>
      </c>
      <c r="G49" s="369"/>
      <c r="H49" s="189">
        <v>4101360030</v>
      </c>
      <c r="I49" s="369">
        <v>2024</v>
      </c>
      <c r="J49" s="375">
        <v>11834</v>
      </c>
      <c r="K49" s="377">
        <v>0</v>
      </c>
      <c r="L49" s="374">
        <f t="shared" si="27"/>
        <v>11834</v>
      </c>
      <c r="M49" s="374">
        <f t="shared" si="28"/>
        <v>11834</v>
      </c>
      <c r="N49" s="369"/>
      <c r="O49" s="369"/>
      <c r="P49" s="369"/>
      <c r="Q49" s="369"/>
      <c r="R49" s="369"/>
      <c r="S49" s="369"/>
      <c r="T49" s="42">
        <v>0</v>
      </c>
      <c r="U49" s="43">
        <v>0</v>
      </c>
      <c r="V49" s="42">
        <v>0</v>
      </c>
      <c r="W49" s="43">
        <v>0</v>
      </c>
      <c r="X49" s="42">
        <v>0</v>
      </c>
      <c r="Y49" s="43">
        <v>0</v>
      </c>
      <c r="Z49" s="42">
        <v>0</v>
      </c>
      <c r="AA49" s="43">
        <v>0</v>
      </c>
      <c r="AB49" s="42">
        <v>1</v>
      </c>
      <c r="AC49" s="43">
        <f t="shared" si="29"/>
        <v>11834</v>
      </c>
      <c r="AD49" s="42">
        <v>0</v>
      </c>
      <c r="AE49" s="43">
        <v>0</v>
      </c>
      <c r="AF49" s="369"/>
      <c r="AG49" s="369"/>
      <c r="AH49" s="369"/>
      <c r="AI49" s="369"/>
      <c r="AJ49" s="369"/>
      <c r="AK49" s="369"/>
      <c r="AL49" s="369"/>
      <c r="AM49" s="369"/>
      <c r="AN49" s="369"/>
      <c r="AO49" s="369"/>
      <c r="AP49" s="369"/>
    </row>
    <row r="50" spans="1:42" ht="38.25" x14ac:dyDescent="0.25">
      <c r="A50" s="516" t="s">
        <v>1445</v>
      </c>
      <c r="B50" s="516"/>
      <c r="C50" s="516"/>
      <c r="D50" s="516"/>
      <c r="E50" s="369"/>
      <c r="F50" s="369" t="s">
        <v>1465</v>
      </c>
      <c r="G50" s="369"/>
      <c r="H50" s="189">
        <v>4101360038</v>
      </c>
      <c r="I50" s="369">
        <v>2024</v>
      </c>
      <c r="J50" s="375">
        <v>13923.85</v>
      </c>
      <c r="K50" s="377">
        <v>0</v>
      </c>
      <c r="L50" s="374">
        <f t="shared" si="27"/>
        <v>13923.85</v>
      </c>
      <c r="M50" s="374">
        <f t="shared" si="28"/>
        <v>13923.85</v>
      </c>
      <c r="N50" s="369"/>
      <c r="O50" s="369"/>
      <c r="P50" s="369"/>
      <c r="Q50" s="369"/>
      <c r="R50" s="369"/>
      <c r="S50" s="369"/>
      <c r="T50" s="42">
        <v>0</v>
      </c>
      <c r="U50" s="43">
        <v>0</v>
      </c>
      <c r="V50" s="42">
        <v>0</v>
      </c>
      <c r="W50" s="43">
        <v>0</v>
      </c>
      <c r="X50" s="42">
        <v>0</v>
      </c>
      <c r="Y50" s="43">
        <v>0</v>
      </c>
      <c r="Z50" s="42">
        <v>0</v>
      </c>
      <c r="AA50" s="43">
        <v>0</v>
      </c>
      <c r="AB50" s="42">
        <v>1</v>
      </c>
      <c r="AC50" s="43">
        <f t="shared" si="29"/>
        <v>13923.85</v>
      </c>
      <c r="AD50" s="42">
        <v>0</v>
      </c>
      <c r="AE50" s="43">
        <v>0</v>
      </c>
      <c r="AF50" s="369"/>
      <c r="AG50" s="369"/>
      <c r="AH50" s="369"/>
      <c r="AI50" s="369"/>
      <c r="AJ50" s="369"/>
      <c r="AK50" s="369"/>
      <c r="AL50" s="369"/>
      <c r="AM50" s="369"/>
      <c r="AN50" s="369"/>
      <c r="AO50" s="369"/>
      <c r="AP50" s="369"/>
    </row>
    <row r="51" spans="1:42" ht="38.25" x14ac:dyDescent="0.25">
      <c r="A51" s="516" t="s">
        <v>1446</v>
      </c>
      <c r="B51" s="516"/>
      <c r="C51" s="516"/>
      <c r="D51" s="516"/>
      <c r="E51" s="369"/>
      <c r="F51" s="369" t="s">
        <v>1466</v>
      </c>
      <c r="G51" s="369"/>
      <c r="H51" s="189">
        <v>4101360039</v>
      </c>
      <c r="I51" s="369">
        <v>2024</v>
      </c>
      <c r="J51" s="375">
        <v>17036.55</v>
      </c>
      <c r="K51" s="377">
        <v>0</v>
      </c>
      <c r="L51" s="374">
        <f t="shared" si="27"/>
        <v>17036.55</v>
      </c>
      <c r="M51" s="374">
        <f t="shared" si="28"/>
        <v>17036.55</v>
      </c>
      <c r="N51" s="369"/>
      <c r="O51" s="369"/>
      <c r="P51" s="369"/>
      <c r="Q51" s="369"/>
      <c r="R51" s="369"/>
      <c r="S51" s="369"/>
      <c r="T51" s="42">
        <v>0</v>
      </c>
      <c r="U51" s="43">
        <v>0</v>
      </c>
      <c r="V51" s="42">
        <v>0</v>
      </c>
      <c r="W51" s="43">
        <v>0</v>
      </c>
      <c r="X51" s="42">
        <v>0</v>
      </c>
      <c r="Y51" s="43">
        <v>0</v>
      </c>
      <c r="Z51" s="42">
        <v>0</v>
      </c>
      <c r="AA51" s="43">
        <v>0</v>
      </c>
      <c r="AB51" s="42">
        <v>1</v>
      </c>
      <c r="AC51" s="43">
        <f t="shared" si="29"/>
        <v>17036.55</v>
      </c>
      <c r="AD51" s="42">
        <v>0</v>
      </c>
      <c r="AE51" s="43">
        <v>0</v>
      </c>
      <c r="AF51" s="369"/>
      <c r="AG51" s="369"/>
      <c r="AH51" s="369"/>
      <c r="AI51" s="369"/>
      <c r="AJ51" s="369"/>
      <c r="AK51" s="369"/>
      <c r="AL51" s="369"/>
      <c r="AM51" s="369"/>
      <c r="AN51" s="369"/>
      <c r="AO51" s="369"/>
      <c r="AP51" s="369"/>
    </row>
    <row r="52" spans="1:42" ht="38.25" x14ac:dyDescent="0.25">
      <c r="A52" s="516" t="s">
        <v>1446</v>
      </c>
      <c r="B52" s="516"/>
      <c r="C52" s="516"/>
      <c r="D52" s="516"/>
      <c r="E52" s="369"/>
      <c r="F52" s="369" t="s">
        <v>1467</v>
      </c>
      <c r="G52" s="369"/>
      <c r="H52" s="189">
        <v>4101360040</v>
      </c>
      <c r="I52" s="369">
        <v>2024</v>
      </c>
      <c r="J52" s="375">
        <v>17036.55</v>
      </c>
      <c r="K52" s="377">
        <v>0</v>
      </c>
      <c r="L52" s="374">
        <f t="shared" si="27"/>
        <v>17036.55</v>
      </c>
      <c r="M52" s="374">
        <f t="shared" si="28"/>
        <v>17036.55</v>
      </c>
      <c r="N52" s="369"/>
      <c r="O52" s="369"/>
      <c r="P52" s="369"/>
      <c r="Q52" s="369"/>
      <c r="R52" s="369"/>
      <c r="S52" s="369"/>
      <c r="T52" s="42">
        <v>0</v>
      </c>
      <c r="U52" s="43">
        <v>0</v>
      </c>
      <c r="V52" s="42">
        <v>0</v>
      </c>
      <c r="W52" s="43">
        <v>0</v>
      </c>
      <c r="X52" s="42">
        <v>0</v>
      </c>
      <c r="Y52" s="43">
        <v>0</v>
      </c>
      <c r="Z52" s="42">
        <v>0</v>
      </c>
      <c r="AA52" s="43">
        <v>0</v>
      </c>
      <c r="AB52" s="42">
        <v>1</v>
      </c>
      <c r="AC52" s="43">
        <f t="shared" si="29"/>
        <v>17036.55</v>
      </c>
      <c r="AD52" s="42">
        <v>0</v>
      </c>
      <c r="AE52" s="43">
        <v>0</v>
      </c>
      <c r="AF52" s="369"/>
      <c r="AG52" s="369"/>
      <c r="AH52" s="369"/>
      <c r="AI52" s="369"/>
      <c r="AJ52" s="369"/>
      <c r="AK52" s="369"/>
      <c r="AL52" s="369"/>
      <c r="AM52" s="369"/>
      <c r="AN52" s="369"/>
      <c r="AO52" s="369"/>
      <c r="AP52" s="369"/>
    </row>
    <row r="53" spans="1:42" ht="38.25" x14ac:dyDescent="0.25">
      <c r="A53" s="516" t="s">
        <v>1447</v>
      </c>
      <c r="B53" s="516"/>
      <c r="C53" s="516"/>
      <c r="D53" s="516"/>
      <c r="E53" s="369"/>
      <c r="F53" s="369" t="s">
        <v>1468</v>
      </c>
      <c r="G53" s="369"/>
      <c r="H53" s="189">
        <v>4101360041</v>
      </c>
      <c r="I53" s="369">
        <v>2024</v>
      </c>
      <c r="J53" s="375">
        <v>20160</v>
      </c>
      <c r="K53" s="377">
        <v>0</v>
      </c>
      <c r="L53" s="374">
        <f t="shared" si="27"/>
        <v>20160</v>
      </c>
      <c r="M53" s="374">
        <f t="shared" si="28"/>
        <v>20160</v>
      </c>
      <c r="N53" s="369"/>
      <c r="O53" s="369"/>
      <c r="P53" s="369"/>
      <c r="Q53" s="369"/>
      <c r="R53" s="369"/>
      <c r="S53" s="369"/>
      <c r="T53" s="42">
        <v>0</v>
      </c>
      <c r="U53" s="43">
        <v>0</v>
      </c>
      <c r="V53" s="42">
        <v>0</v>
      </c>
      <c r="W53" s="43">
        <v>0</v>
      </c>
      <c r="X53" s="42">
        <v>0</v>
      </c>
      <c r="Y53" s="43">
        <v>0</v>
      </c>
      <c r="Z53" s="42">
        <v>0</v>
      </c>
      <c r="AA53" s="43">
        <v>0</v>
      </c>
      <c r="AB53" s="42">
        <v>1</v>
      </c>
      <c r="AC53" s="43">
        <f t="shared" si="29"/>
        <v>20160</v>
      </c>
      <c r="AD53" s="42">
        <v>0</v>
      </c>
      <c r="AE53" s="43">
        <v>0</v>
      </c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69"/>
    </row>
    <row r="54" spans="1:42" ht="38.25" x14ac:dyDescent="0.25">
      <c r="A54" s="516" t="s">
        <v>1447</v>
      </c>
      <c r="B54" s="516"/>
      <c r="C54" s="516"/>
      <c r="D54" s="516"/>
      <c r="E54" s="369"/>
      <c r="F54" s="369" t="s">
        <v>1469</v>
      </c>
      <c r="G54" s="369"/>
      <c r="H54" s="189">
        <v>4101360042</v>
      </c>
      <c r="I54" s="369">
        <v>2024</v>
      </c>
      <c r="J54" s="375">
        <v>20160</v>
      </c>
      <c r="K54" s="377">
        <v>0</v>
      </c>
      <c r="L54" s="374">
        <f t="shared" si="27"/>
        <v>20160</v>
      </c>
      <c r="M54" s="374">
        <f t="shared" si="28"/>
        <v>20160</v>
      </c>
      <c r="N54" s="369"/>
      <c r="O54" s="369"/>
      <c r="P54" s="369"/>
      <c r="Q54" s="369"/>
      <c r="R54" s="369"/>
      <c r="S54" s="369"/>
      <c r="T54" s="42">
        <v>0</v>
      </c>
      <c r="U54" s="43">
        <v>0</v>
      </c>
      <c r="V54" s="42">
        <v>0</v>
      </c>
      <c r="W54" s="43">
        <v>0</v>
      </c>
      <c r="X54" s="42">
        <v>0</v>
      </c>
      <c r="Y54" s="43">
        <v>0</v>
      </c>
      <c r="Z54" s="42">
        <v>0</v>
      </c>
      <c r="AA54" s="43">
        <v>0</v>
      </c>
      <c r="AB54" s="42">
        <v>1</v>
      </c>
      <c r="AC54" s="43">
        <f t="shared" si="29"/>
        <v>20160</v>
      </c>
      <c r="AD54" s="42">
        <v>0</v>
      </c>
      <c r="AE54" s="43">
        <v>0</v>
      </c>
      <c r="AF54" s="369"/>
      <c r="AG54" s="369"/>
      <c r="AH54" s="369"/>
      <c r="AI54" s="369"/>
      <c r="AJ54" s="369"/>
      <c r="AK54" s="369"/>
      <c r="AL54" s="369"/>
      <c r="AM54" s="369"/>
      <c r="AN54" s="369"/>
      <c r="AO54" s="369"/>
      <c r="AP54" s="369"/>
    </row>
    <row r="55" spans="1:42" ht="38.25" x14ac:dyDescent="0.25">
      <c r="A55" s="516" t="s">
        <v>1447</v>
      </c>
      <c r="B55" s="516"/>
      <c r="C55" s="516"/>
      <c r="D55" s="516"/>
      <c r="E55" s="369"/>
      <c r="F55" s="369" t="s">
        <v>1470</v>
      </c>
      <c r="G55" s="369"/>
      <c r="H55" s="189">
        <v>4101360043</v>
      </c>
      <c r="I55" s="369">
        <v>2024</v>
      </c>
      <c r="J55" s="375">
        <v>20160</v>
      </c>
      <c r="K55" s="377">
        <v>0</v>
      </c>
      <c r="L55" s="374">
        <f t="shared" si="27"/>
        <v>20160</v>
      </c>
      <c r="M55" s="374">
        <f t="shared" si="28"/>
        <v>20160</v>
      </c>
      <c r="N55" s="369"/>
      <c r="O55" s="369"/>
      <c r="P55" s="369"/>
      <c r="Q55" s="369"/>
      <c r="R55" s="369"/>
      <c r="S55" s="369"/>
      <c r="T55" s="42">
        <v>0</v>
      </c>
      <c r="U55" s="43">
        <v>0</v>
      </c>
      <c r="V55" s="42">
        <v>0</v>
      </c>
      <c r="W55" s="43">
        <v>0</v>
      </c>
      <c r="X55" s="42">
        <v>0</v>
      </c>
      <c r="Y55" s="43">
        <v>0</v>
      </c>
      <c r="Z55" s="42">
        <v>0</v>
      </c>
      <c r="AA55" s="43">
        <v>0</v>
      </c>
      <c r="AB55" s="42">
        <v>1</v>
      </c>
      <c r="AC55" s="43">
        <f t="shared" si="29"/>
        <v>20160</v>
      </c>
      <c r="AD55" s="42">
        <v>0</v>
      </c>
      <c r="AE55" s="43">
        <v>0</v>
      </c>
      <c r="AF55" s="369"/>
      <c r="AG55" s="369"/>
      <c r="AH55" s="369"/>
      <c r="AI55" s="369"/>
      <c r="AJ55" s="369"/>
      <c r="AK55" s="369"/>
      <c r="AL55" s="369"/>
      <c r="AM55" s="369"/>
      <c r="AN55" s="369"/>
      <c r="AO55" s="369"/>
      <c r="AP55" s="369"/>
    </row>
    <row r="56" spans="1:42" ht="38.25" x14ac:dyDescent="0.25">
      <c r="A56" s="516" t="s">
        <v>1447</v>
      </c>
      <c r="B56" s="516"/>
      <c r="C56" s="516"/>
      <c r="D56" s="516"/>
      <c r="E56" s="369"/>
      <c r="F56" s="369" t="s">
        <v>1471</v>
      </c>
      <c r="G56" s="369"/>
      <c r="H56" s="189">
        <v>4101360044</v>
      </c>
      <c r="I56" s="369">
        <v>2024</v>
      </c>
      <c r="J56" s="375">
        <v>20160</v>
      </c>
      <c r="K56" s="377">
        <v>0</v>
      </c>
      <c r="L56" s="374">
        <f t="shared" si="27"/>
        <v>20160</v>
      </c>
      <c r="M56" s="374">
        <f t="shared" si="28"/>
        <v>20160</v>
      </c>
      <c r="N56" s="369"/>
      <c r="O56" s="369"/>
      <c r="P56" s="369"/>
      <c r="Q56" s="369"/>
      <c r="R56" s="369"/>
      <c r="S56" s="369"/>
      <c r="T56" s="42">
        <v>0</v>
      </c>
      <c r="U56" s="43">
        <v>0</v>
      </c>
      <c r="V56" s="42">
        <v>0</v>
      </c>
      <c r="W56" s="43">
        <v>0</v>
      </c>
      <c r="X56" s="42">
        <v>0</v>
      </c>
      <c r="Y56" s="43">
        <v>0</v>
      </c>
      <c r="Z56" s="42">
        <v>0</v>
      </c>
      <c r="AA56" s="43">
        <v>0</v>
      </c>
      <c r="AB56" s="42">
        <v>1</v>
      </c>
      <c r="AC56" s="43">
        <f t="shared" si="29"/>
        <v>20160</v>
      </c>
      <c r="AD56" s="42">
        <v>0</v>
      </c>
      <c r="AE56" s="43">
        <v>0</v>
      </c>
      <c r="AF56" s="369"/>
      <c r="AG56" s="369"/>
      <c r="AH56" s="369"/>
      <c r="AI56" s="369"/>
      <c r="AJ56" s="369"/>
      <c r="AK56" s="369"/>
      <c r="AL56" s="369"/>
      <c r="AM56" s="369"/>
      <c r="AN56" s="369"/>
      <c r="AO56" s="369"/>
      <c r="AP56" s="369"/>
    </row>
    <row r="57" spans="1:42" ht="38.25" x14ac:dyDescent="0.25">
      <c r="A57" s="516" t="s">
        <v>1448</v>
      </c>
      <c r="B57" s="516"/>
      <c r="C57" s="516"/>
      <c r="D57" s="516"/>
      <c r="E57" s="369"/>
      <c r="F57" s="369" t="s">
        <v>1472</v>
      </c>
      <c r="G57" s="369"/>
      <c r="H57" s="189">
        <v>4101360045</v>
      </c>
      <c r="I57" s="369">
        <v>2024</v>
      </c>
      <c r="J57" s="375">
        <v>29120</v>
      </c>
      <c r="K57" s="377">
        <v>0</v>
      </c>
      <c r="L57" s="374">
        <f t="shared" si="27"/>
        <v>29120</v>
      </c>
      <c r="M57" s="374">
        <f t="shared" si="28"/>
        <v>29120</v>
      </c>
      <c r="N57" s="369"/>
      <c r="O57" s="369"/>
      <c r="P57" s="369"/>
      <c r="Q57" s="369"/>
      <c r="R57" s="369"/>
      <c r="S57" s="369"/>
      <c r="T57" s="42">
        <v>0</v>
      </c>
      <c r="U57" s="43">
        <v>0</v>
      </c>
      <c r="V57" s="42">
        <v>0</v>
      </c>
      <c r="W57" s="43">
        <v>0</v>
      </c>
      <c r="X57" s="42">
        <v>0</v>
      </c>
      <c r="Y57" s="43">
        <v>0</v>
      </c>
      <c r="Z57" s="42">
        <v>0</v>
      </c>
      <c r="AA57" s="43">
        <v>0</v>
      </c>
      <c r="AB57" s="42">
        <v>1</v>
      </c>
      <c r="AC57" s="43">
        <f t="shared" si="29"/>
        <v>29120</v>
      </c>
      <c r="AD57" s="42">
        <v>0</v>
      </c>
      <c r="AE57" s="43">
        <v>0</v>
      </c>
      <c r="AF57" s="369"/>
      <c r="AG57" s="369"/>
      <c r="AH57" s="369"/>
      <c r="AI57" s="369"/>
      <c r="AJ57" s="369"/>
      <c r="AK57" s="369"/>
      <c r="AL57" s="369"/>
      <c r="AM57" s="369"/>
      <c r="AN57" s="369"/>
      <c r="AO57" s="369"/>
      <c r="AP57" s="369"/>
    </row>
    <row r="58" spans="1:42" ht="38.25" x14ac:dyDescent="0.25">
      <c r="A58" s="516" t="s">
        <v>1448</v>
      </c>
      <c r="B58" s="516"/>
      <c r="C58" s="516"/>
      <c r="D58" s="516"/>
      <c r="E58" s="369"/>
      <c r="F58" s="369" t="s">
        <v>1473</v>
      </c>
      <c r="G58" s="369"/>
      <c r="H58" s="189">
        <v>4101360046</v>
      </c>
      <c r="I58" s="369">
        <v>2024</v>
      </c>
      <c r="J58" s="375">
        <v>29120</v>
      </c>
      <c r="K58" s="377">
        <v>0</v>
      </c>
      <c r="L58" s="374">
        <f t="shared" si="27"/>
        <v>29120</v>
      </c>
      <c r="M58" s="374">
        <f t="shared" si="28"/>
        <v>29120</v>
      </c>
      <c r="N58" s="369"/>
      <c r="O58" s="369"/>
      <c r="P58" s="369"/>
      <c r="Q58" s="369"/>
      <c r="R58" s="369"/>
      <c r="S58" s="369"/>
      <c r="T58" s="42">
        <v>0</v>
      </c>
      <c r="U58" s="43">
        <v>0</v>
      </c>
      <c r="V58" s="42">
        <v>0</v>
      </c>
      <c r="W58" s="43">
        <v>0</v>
      </c>
      <c r="X58" s="42">
        <v>0</v>
      </c>
      <c r="Y58" s="43">
        <v>0</v>
      </c>
      <c r="Z58" s="42">
        <v>0</v>
      </c>
      <c r="AA58" s="43">
        <v>0</v>
      </c>
      <c r="AB58" s="42">
        <v>1</v>
      </c>
      <c r="AC58" s="43">
        <f t="shared" si="29"/>
        <v>29120</v>
      </c>
      <c r="AD58" s="42">
        <v>0</v>
      </c>
      <c r="AE58" s="43">
        <v>0</v>
      </c>
      <c r="AF58" s="369"/>
      <c r="AG58" s="369"/>
      <c r="AH58" s="369"/>
      <c r="AI58" s="369"/>
      <c r="AJ58" s="369"/>
      <c r="AK58" s="369"/>
      <c r="AL58" s="369"/>
      <c r="AM58" s="369"/>
      <c r="AN58" s="369"/>
      <c r="AO58" s="369"/>
      <c r="AP58" s="369"/>
    </row>
    <row r="59" spans="1:42" ht="16.149999999999999" customHeight="1" x14ac:dyDescent="0.25">
      <c r="A59" s="477" t="s">
        <v>192</v>
      </c>
      <c r="B59" s="477"/>
      <c r="C59" s="477"/>
      <c r="D59" s="477"/>
      <c r="E59" s="369">
        <v>4000</v>
      </c>
      <c r="F59" s="369"/>
      <c r="G59" s="369"/>
      <c r="H59" s="369"/>
      <c r="I59" s="369"/>
      <c r="J59" s="374">
        <f>J60+J79</f>
        <v>622700</v>
      </c>
      <c r="K59" s="374">
        <f>K60+K79</f>
        <v>0</v>
      </c>
      <c r="L59" s="374">
        <f t="shared" si="27"/>
        <v>622700</v>
      </c>
      <c r="M59" s="374">
        <f>J59</f>
        <v>622700</v>
      </c>
      <c r="N59" s="369"/>
      <c r="O59" s="369"/>
      <c r="P59" s="369"/>
      <c r="Q59" s="369"/>
      <c r="R59" s="369"/>
      <c r="S59" s="369"/>
      <c r="T59" s="373">
        <f t="shared" ref="T59:AP59" si="30">T60+T79</f>
        <v>0</v>
      </c>
      <c r="U59" s="371">
        <f t="shared" si="30"/>
        <v>0</v>
      </c>
      <c r="V59" s="373">
        <f t="shared" si="30"/>
        <v>0</v>
      </c>
      <c r="W59" s="371">
        <f t="shared" si="30"/>
        <v>0</v>
      </c>
      <c r="X59" s="373">
        <f t="shared" si="30"/>
        <v>0</v>
      </c>
      <c r="Y59" s="371">
        <f t="shared" si="30"/>
        <v>0</v>
      </c>
      <c r="Z59" s="373">
        <f t="shared" si="30"/>
        <v>0</v>
      </c>
      <c r="AA59" s="371">
        <f t="shared" si="30"/>
        <v>0</v>
      </c>
      <c r="AB59" s="373">
        <f t="shared" si="30"/>
        <v>2</v>
      </c>
      <c r="AC59" s="371">
        <f t="shared" si="30"/>
        <v>23400</v>
      </c>
      <c r="AD59" s="373">
        <f t="shared" si="30"/>
        <v>13</v>
      </c>
      <c r="AE59" s="371">
        <f t="shared" si="30"/>
        <v>599300</v>
      </c>
      <c r="AF59" s="371">
        <f t="shared" si="30"/>
        <v>0</v>
      </c>
      <c r="AG59" s="371">
        <f t="shared" si="30"/>
        <v>0</v>
      </c>
      <c r="AH59" s="371">
        <f t="shared" si="30"/>
        <v>0</v>
      </c>
      <c r="AI59" s="371">
        <f t="shared" si="30"/>
        <v>0</v>
      </c>
      <c r="AJ59" s="371">
        <f t="shared" si="30"/>
        <v>0</v>
      </c>
      <c r="AK59" s="371">
        <f t="shared" si="30"/>
        <v>0</v>
      </c>
      <c r="AL59" s="371">
        <f t="shared" si="30"/>
        <v>0</v>
      </c>
      <c r="AM59" s="371">
        <f t="shared" si="30"/>
        <v>0</v>
      </c>
      <c r="AN59" s="371">
        <f t="shared" si="30"/>
        <v>0</v>
      </c>
      <c r="AO59" s="371">
        <f t="shared" si="30"/>
        <v>0</v>
      </c>
      <c r="AP59" s="371">
        <f t="shared" si="30"/>
        <v>0</v>
      </c>
    </row>
    <row r="60" spans="1:42" ht="16.899999999999999" customHeight="1" x14ac:dyDescent="0.25">
      <c r="A60" s="476" t="s">
        <v>54</v>
      </c>
      <c r="B60" s="476"/>
      <c r="C60" s="476"/>
      <c r="D60" s="476"/>
      <c r="E60" s="432">
        <v>4100</v>
      </c>
      <c r="F60" s="432"/>
      <c r="G60" s="432"/>
      <c r="H60" s="432"/>
      <c r="I60" s="432"/>
      <c r="J60" s="517">
        <f>J62</f>
        <v>622700</v>
      </c>
      <c r="K60" s="517">
        <f>K62</f>
        <v>0</v>
      </c>
      <c r="L60" s="517">
        <f t="shared" si="27"/>
        <v>622700</v>
      </c>
      <c r="M60" s="517">
        <f>L60</f>
        <v>622700</v>
      </c>
      <c r="N60" s="432"/>
      <c r="O60" s="432"/>
      <c r="P60" s="432"/>
      <c r="Q60" s="432"/>
      <c r="R60" s="432"/>
      <c r="S60" s="432"/>
      <c r="T60" s="513">
        <f>T62</f>
        <v>0</v>
      </c>
      <c r="U60" s="508">
        <f>U62</f>
        <v>0</v>
      </c>
      <c r="V60" s="513">
        <f t="shared" ref="V60:AE60" si="31">V62</f>
        <v>0</v>
      </c>
      <c r="W60" s="508">
        <f t="shared" si="31"/>
        <v>0</v>
      </c>
      <c r="X60" s="513">
        <f t="shared" si="31"/>
        <v>0</v>
      </c>
      <c r="Y60" s="508">
        <f t="shared" si="31"/>
        <v>0</v>
      </c>
      <c r="Z60" s="513">
        <f t="shared" si="31"/>
        <v>0</v>
      </c>
      <c r="AA60" s="508">
        <f t="shared" si="31"/>
        <v>0</v>
      </c>
      <c r="AB60" s="513">
        <f t="shared" si="31"/>
        <v>2</v>
      </c>
      <c r="AC60" s="508">
        <f t="shared" si="31"/>
        <v>23400</v>
      </c>
      <c r="AD60" s="513">
        <f t="shared" si="31"/>
        <v>13</v>
      </c>
      <c r="AE60" s="508">
        <f t="shared" si="31"/>
        <v>599300</v>
      </c>
      <c r="AF60" s="508">
        <f t="shared" ref="AF60:AP60" si="32">AF62</f>
        <v>0</v>
      </c>
      <c r="AG60" s="508">
        <f t="shared" si="32"/>
        <v>0</v>
      </c>
      <c r="AH60" s="508">
        <f t="shared" si="32"/>
        <v>0</v>
      </c>
      <c r="AI60" s="508">
        <f t="shared" si="32"/>
        <v>0</v>
      </c>
      <c r="AJ60" s="508">
        <f t="shared" si="32"/>
        <v>0</v>
      </c>
      <c r="AK60" s="508">
        <f t="shared" si="32"/>
        <v>0</v>
      </c>
      <c r="AL60" s="508">
        <f t="shared" si="32"/>
        <v>0</v>
      </c>
      <c r="AM60" s="508">
        <f t="shared" si="32"/>
        <v>0</v>
      </c>
      <c r="AN60" s="508">
        <f t="shared" si="32"/>
        <v>0</v>
      </c>
      <c r="AO60" s="508">
        <f t="shared" si="32"/>
        <v>0</v>
      </c>
      <c r="AP60" s="508">
        <f t="shared" si="32"/>
        <v>0</v>
      </c>
    </row>
    <row r="61" spans="1:42" ht="15" customHeight="1" x14ac:dyDescent="0.25">
      <c r="A61" s="476" t="s">
        <v>188</v>
      </c>
      <c r="B61" s="476"/>
      <c r="C61" s="476"/>
      <c r="D61" s="476"/>
      <c r="E61" s="432"/>
      <c r="F61" s="432"/>
      <c r="G61" s="432"/>
      <c r="H61" s="432"/>
      <c r="I61" s="432"/>
      <c r="J61" s="432"/>
      <c r="K61" s="432"/>
      <c r="L61" s="432"/>
      <c r="M61" s="432"/>
      <c r="N61" s="432"/>
      <c r="O61" s="432"/>
      <c r="P61" s="432"/>
      <c r="Q61" s="432"/>
      <c r="R61" s="432"/>
      <c r="S61" s="432"/>
      <c r="T61" s="432"/>
      <c r="U61" s="508"/>
      <c r="V61" s="432"/>
      <c r="W61" s="508"/>
      <c r="X61" s="432"/>
      <c r="Y61" s="508"/>
      <c r="Z61" s="432"/>
      <c r="AA61" s="508"/>
      <c r="AB61" s="432"/>
      <c r="AC61" s="508"/>
      <c r="AD61" s="432"/>
      <c r="AE61" s="508"/>
      <c r="AF61" s="508"/>
      <c r="AG61" s="508"/>
      <c r="AH61" s="508"/>
      <c r="AI61" s="508"/>
      <c r="AJ61" s="508"/>
      <c r="AK61" s="508"/>
      <c r="AL61" s="508"/>
      <c r="AM61" s="508"/>
      <c r="AN61" s="508"/>
      <c r="AO61" s="508"/>
      <c r="AP61" s="508"/>
    </row>
    <row r="62" spans="1:42" ht="16.899999999999999" customHeight="1" x14ac:dyDescent="0.25">
      <c r="A62" s="518" t="s">
        <v>59</v>
      </c>
      <c r="B62" s="518"/>
      <c r="C62" s="518"/>
      <c r="D62" s="518"/>
      <c r="E62" s="432">
        <v>4110</v>
      </c>
      <c r="F62" s="432"/>
      <c r="G62" s="432"/>
      <c r="H62" s="432"/>
      <c r="I62" s="432"/>
      <c r="J62" s="517">
        <f>SUM(J64:J78)</f>
        <v>622700</v>
      </c>
      <c r="K62" s="517">
        <f>SUM(K64:K78)</f>
        <v>0</v>
      </c>
      <c r="L62" s="517">
        <f>J62</f>
        <v>622700</v>
      </c>
      <c r="M62" s="517">
        <f>L62</f>
        <v>622700</v>
      </c>
      <c r="N62" s="432"/>
      <c r="O62" s="432"/>
      <c r="P62" s="432"/>
      <c r="Q62" s="432"/>
      <c r="R62" s="432"/>
      <c r="S62" s="432"/>
      <c r="T62" s="513">
        <f t="shared" ref="T62:AP62" si="33">SUM(T64:T78)</f>
        <v>0</v>
      </c>
      <c r="U62" s="508">
        <f t="shared" si="33"/>
        <v>0</v>
      </c>
      <c r="V62" s="513">
        <f t="shared" si="33"/>
        <v>0</v>
      </c>
      <c r="W62" s="508">
        <f t="shared" si="33"/>
        <v>0</v>
      </c>
      <c r="X62" s="513">
        <f t="shared" si="33"/>
        <v>0</v>
      </c>
      <c r="Y62" s="508">
        <f t="shared" si="33"/>
        <v>0</v>
      </c>
      <c r="Z62" s="513">
        <f t="shared" si="33"/>
        <v>0</v>
      </c>
      <c r="AA62" s="508">
        <f t="shared" si="33"/>
        <v>0</v>
      </c>
      <c r="AB62" s="513">
        <f t="shared" si="33"/>
        <v>2</v>
      </c>
      <c r="AC62" s="508">
        <f t="shared" si="33"/>
        <v>23400</v>
      </c>
      <c r="AD62" s="513">
        <f t="shared" si="33"/>
        <v>13</v>
      </c>
      <c r="AE62" s="508">
        <f t="shared" si="33"/>
        <v>599300</v>
      </c>
      <c r="AF62" s="508">
        <f t="shared" si="33"/>
        <v>0</v>
      </c>
      <c r="AG62" s="508">
        <f t="shared" si="33"/>
        <v>0</v>
      </c>
      <c r="AH62" s="508">
        <f t="shared" si="33"/>
        <v>0</v>
      </c>
      <c r="AI62" s="508">
        <f t="shared" si="33"/>
        <v>0</v>
      </c>
      <c r="AJ62" s="508">
        <f t="shared" si="33"/>
        <v>0</v>
      </c>
      <c r="AK62" s="508">
        <f t="shared" si="33"/>
        <v>0</v>
      </c>
      <c r="AL62" s="508">
        <f t="shared" si="33"/>
        <v>0</v>
      </c>
      <c r="AM62" s="508">
        <f t="shared" si="33"/>
        <v>0</v>
      </c>
      <c r="AN62" s="508">
        <f t="shared" si="33"/>
        <v>0</v>
      </c>
      <c r="AO62" s="508">
        <f t="shared" si="33"/>
        <v>0</v>
      </c>
      <c r="AP62" s="508">
        <f t="shared" si="33"/>
        <v>0</v>
      </c>
    </row>
    <row r="63" spans="1:42" ht="38.25" customHeight="1" x14ac:dyDescent="0.25">
      <c r="A63" s="518" t="s">
        <v>262</v>
      </c>
      <c r="B63" s="518"/>
      <c r="C63" s="518"/>
      <c r="D63" s="518"/>
      <c r="E63" s="432"/>
      <c r="F63" s="432"/>
      <c r="G63" s="432"/>
      <c r="H63" s="432"/>
      <c r="I63" s="432"/>
      <c r="J63" s="432"/>
      <c r="K63" s="432"/>
      <c r="L63" s="432"/>
      <c r="M63" s="432"/>
      <c r="N63" s="432"/>
      <c r="O63" s="432"/>
      <c r="P63" s="432"/>
      <c r="Q63" s="432"/>
      <c r="R63" s="432"/>
      <c r="S63" s="432"/>
      <c r="T63" s="432"/>
      <c r="U63" s="508"/>
      <c r="V63" s="432"/>
      <c r="W63" s="508"/>
      <c r="X63" s="432"/>
      <c r="Y63" s="508"/>
      <c r="Z63" s="432"/>
      <c r="AA63" s="508"/>
      <c r="AB63" s="432"/>
      <c r="AC63" s="508"/>
      <c r="AD63" s="432"/>
      <c r="AE63" s="508"/>
      <c r="AF63" s="508"/>
      <c r="AG63" s="508"/>
      <c r="AH63" s="508"/>
      <c r="AI63" s="508"/>
      <c r="AJ63" s="508"/>
      <c r="AK63" s="508"/>
      <c r="AL63" s="508"/>
      <c r="AM63" s="508"/>
      <c r="AN63" s="508"/>
      <c r="AO63" s="508"/>
      <c r="AP63" s="508"/>
    </row>
    <row r="64" spans="1:42" ht="48" customHeight="1" x14ac:dyDescent="0.25">
      <c r="A64" s="516" t="s">
        <v>1111</v>
      </c>
      <c r="B64" s="516"/>
      <c r="C64" s="516"/>
      <c r="D64" s="516"/>
      <c r="E64" s="369"/>
      <c r="F64" s="369" t="s">
        <v>1472</v>
      </c>
      <c r="G64" s="369"/>
      <c r="H64" s="189" t="s">
        <v>1112</v>
      </c>
      <c r="I64" s="369">
        <v>2023</v>
      </c>
      <c r="J64" s="193">
        <v>46100</v>
      </c>
      <c r="K64" s="369"/>
      <c r="L64" s="374">
        <f t="shared" ref="L64:L76" si="34">J64</f>
        <v>46100</v>
      </c>
      <c r="M64" s="374">
        <f t="shared" ref="M64:M76" si="35">L64</f>
        <v>46100</v>
      </c>
      <c r="N64" s="369"/>
      <c r="O64" s="369"/>
      <c r="P64" s="369"/>
      <c r="Q64" s="369"/>
      <c r="R64" s="369"/>
      <c r="S64" s="369"/>
      <c r="T64" s="42">
        <v>0</v>
      </c>
      <c r="U64" s="43">
        <v>0</v>
      </c>
      <c r="V64" s="42">
        <v>0</v>
      </c>
      <c r="W64" s="43">
        <v>0</v>
      </c>
      <c r="X64" s="42">
        <v>0</v>
      </c>
      <c r="Y64" s="43">
        <v>0</v>
      </c>
      <c r="Z64" s="42">
        <v>0</v>
      </c>
      <c r="AA64" s="43">
        <v>0</v>
      </c>
      <c r="AB64" s="42">
        <v>0</v>
      </c>
      <c r="AC64" s="43">
        <v>0</v>
      </c>
      <c r="AD64" s="42">
        <v>1</v>
      </c>
      <c r="AE64" s="43">
        <v>46100</v>
      </c>
      <c r="AF64" s="369"/>
      <c r="AG64" s="369"/>
      <c r="AH64" s="369"/>
      <c r="AI64" s="369"/>
      <c r="AJ64" s="369"/>
      <c r="AK64" s="369"/>
      <c r="AL64" s="369"/>
      <c r="AM64" s="369"/>
      <c r="AN64" s="369"/>
      <c r="AO64" s="369"/>
      <c r="AP64" s="369"/>
    </row>
    <row r="65" spans="1:42" ht="51.75" customHeight="1" x14ac:dyDescent="0.25">
      <c r="A65" s="516" t="s">
        <v>1111</v>
      </c>
      <c r="B65" s="516"/>
      <c r="C65" s="516"/>
      <c r="D65" s="516"/>
      <c r="E65" s="369"/>
      <c r="F65" s="369" t="s">
        <v>1473</v>
      </c>
      <c r="G65" s="369"/>
      <c r="H65" s="189" t="s">
        <v>1114</v>
      </c>
      <c r="I65" s="369">
        <v>2023</v>
      </c>
      <c r="J65" s="193">
        <v>46100</v>
      </c>
      <c r="K65" s="369"/>
      <c r="L65" s="374">
        <f t="shared" si="34"/>
        <v>46100</v>
      </c>
      <c r="M65" s="374">
        <f t="shared" si="35"/>
        <v>46100</v>
      </c>
      <c r="N65" s="369"/>
      <c r="O65" s="369"/>
      <c r="P65" s="369"/>
      <c r="Q65" s="369"/>
      <c r="R65" s="369"/>
      <c r="S65" s="369"/>
      <c r="T65" s="42">
        <v>0</v>
      </c>
      <c r="U65" s="43">
        <v>0</v>
      </c>
      <c r="V65" s="42">
        <v>0</v>
      </c>
      <c r="W65" s="43">
        <v>0</v>
      </c>
      <c r="X65" s="42">
        <v>0</v>
      </c>
      <c r="Y65" s="43">
        <v>0</v>
      </c>
      <c r="Z65" s="42">
        <v>0</v>
      </c>
      <c r="AA65" s="43">
        <v>0</v>
      </c>
      <c r="AB65" s="42">
        <v>0</v>
      </c>
      <c r="AC65" s="43">
        <v>0</v>
      </c>
      <c r="AD65" s="42">
        <v>1</v>
      </c>
      <c r="AE65" s="43">
        <v>46100</v>
      </c>
      <c r="AF65" s="369"/>
      <c r="AG65" s="369"/>
      <c r="AH65" s="369"/>
      <c r="AI65" s="369"/>
      <c r="AJ65" s="369"/>
      <c r="AK65" s="369"/>
      <c r="AL65" s="369"/>
      <c r="AM65" s="369"/>
      <c r="AN65" s="369"/>
      <c r="AO65" s="369"/>
      <c r="AP65" s="369"/>
    </row>
    <row r="66" spans="1:42" ht="54" customHeight="1" x14ac:dyDescent="0.25">
      <c r="A66" s="516" t="s">
        <v>1111</v>
      </c>
      <c r="B66" s="516"/>
      <c r="C66" s="516"/>
      <c r="D66" s="516"/>
      <c r="E66" s="369"/>
      <c r="F66" s="369" t="s">
        <v>1474</v>
      </c>
      <c r="G66" s="369"/>
      <c r="H66" s="189" t="s">
        <v>1115</v>
      </c>
      <c r="I66" s="369">
        <v>2023</v>
      </c>
      <c r="J66" s="193">
        <v>46100</v>
      </c>
      <c r="K66" s="369"/>
      <c r="L66" s="374">
        <f t="shared" si="34"/>
        <v>46100</v>
      </c>
      <c r="M66" s="374">
        <f t="shared" si="35"/>
        <v>46100</v>
      </c>
      <c r="N66" s="369"/>
      <c r="O66" s="369"/>
      <c r="P66" s="369"/>
      <c r="Q66" s="369"/>
      <c r="R66" s="369"/>
      <c r="S66" s="369"/>
      <c r="T66" s="42">
        <v>0</v>
      </c>
      <c r="U66" s="43">
        <v>0</v>
      </c>
      <c r="V66" s="42">
        <v>0</v>
      </c>
      <c r="W66" s="43">
        <v>0</v>
      </c>
      <c r="X66" s="42">
        <v>0</v>
      </c>
      <c r="Y66" s="43">
        <v>0</v>
      </c>
      <c r="Z66" s="42">
        <v>0</v>
      </c>
      <c r="AA66" s="43">
        <v>0</v>
      </c>
      <c r="AB66" s="42">
        <v>0</v>
      </c>
      <c r="AC66" s="43">
        <v>0</v>
      </c>
      <c r="AD66" s="42">
        <v>1</v>
      </c>
      <c r="AE66" s="43">
        <v>46100</v>
      </c>
      <c r="AF66" s="369"/>
      <c r="AG66" s="369"/>
      <c r="AH66" s="369"/>
      <c r="AI66" s="369"/>
      <c r="AJ66" s="369"/>
      <c r="AK66" s="369"/>
      <c r="AL66" s="369"/>
      <c r="AM66" s="369"/>
      <c r="AN66" s="369"/>
      <c r="AO66" s="369"/>
      <c r="AP66" s="369"/>
    </row>
    <row r="67" spans="1:42" ht="48" customHeight="1" x14ac:dyDescent="0.25">
      <c r="A67" s="516" t="s">
        <v>1111</v>
      </c>
      <c r="B67" s="516"/>
      <c r="C67" s="516"/>
      <c r="D67" s="516"/>
      <c r="E67" s="369"/>
      <c r="F67" s="369" t="s">
        <v>1475</v>
      </c>
      <c r="G67" s="369"/>
      <c r="H67" s="189" t="s">
        <v>1116</v>
      </c>
      <c r="I67" s="369">
        <v>2023</v>
      </c>
      <c r="J67" s="193">
        <v>46100</v>
      </c>
      <c r="K67" s="369"/>
      <c r="L67" s="374">
        <f t="shared" si="34"/>
        <v>46100</v>
      </c>
      <c r="M67" s="374">
        <f t="shared" si="35"/>
        <v>46100</v>
      </c>
      <c r="N67" s="369"/>
      <c r="O67" s="369"/>
      <c r="P67" s="369"/>
      <c r="Q67" s="369"/>
      <c r="R67" s="369"/>
      <c r="S67" s="369"/>
      <c r="T67" s="42">
        <v>0</v>
      </c>
      <c r="U67" s="43">
        <v>0</v>
      </c>
      <c r="V67" s="42">
        <v>0</v>
      </c>
      <c r="W67" s="43">
        <v>0</v>
      </c>
      <c r="X67" s="42">
        <v>0</v>
      </c>
      <c r="Y67" s="43">
        <v>0</v>
      </c>
      <c r="Z67" s="42">
        <v>0</v>
      </c>
      <c r="AA67" s="43">
        <v>0</v>
      </c>
      <c r="AB67" s="42">
        <v>0</v>
      </c>
      <c r="AC67" s="43">
        <v>0</v>
      </c>
      <c r="AD67" s="42">
        <v>1</v>
      </c>
      <c r="AE67" s="43">
        <v>46100</v>
      </c>
      <c r="AF67" s="369"/>
      <c r="AG67" s="369"/>
      <c r="AH67" s="369"/>
      <c r="AI67" s="369"/>
      <c r="AJ67" s="369"/>
      <c r="AK67" s="369"/>
      <c r="AL67" s="369"/>
      <c r="AM67" s="369"/>
      <c r="AN67" s="369"/>
      <c r="AO67" s="369"/>
      <c r="AP67" s="369"/>
    </row>
    <row r="68" spans="1:42" ht="48.75" customHeight="1" x14ac:dyDescent="0.25">
      <c r="A68" s="516" t="s">
        <v>1111</v>
      </c>
      <c r="B68" s="516"/>
      <c r="C68" s="516"/>
      <c r="D68" s="516"/>
      <c r="E68" s="369"/>
      <c r="F68" s="369" t="s">
        <v>1476</v>
      </c>
      <c r="G68" s="369"/>
      <c r="H68" s="189" t="s">
        <v>1117</v>
      </c>
      <c r="I68" s="369">
        <v>2023</v>
      </c>
      <c r="J68" s="193">
        <v>46100</v>
      </c>
      <c r="K68" s="369"/>
      <c r="L68" s="374">
        <f t="shared" si="34"/>
        <v>46100</v>
      </c>
      <c r="M68" s="374">
        <f t="shared" si="35"/>
        <v>46100</v>
      </c>
      <c r="N68" s="369"/>
      <c r="O68" s="369"/>
      <c r="P68" s="369"/>
      <c r="Q68" s="369"/>
      <c r="R68" s="369"/>
      <c r="S68" s="369"/>
      <c r="T68" s="42">
        <v>0</v>
      </c>
      <c r="U68" s="43">
        <v>0</v>
      </c>
      <c r="V68" s="42">
        <v>0</v>
      </c>
      <c r="W68" s="43">
        <v>0</v>
      </c>
      <c r="X68" s="42">
        <v>0</v>
      </c>
      <c r="Y68" s="43">
        <v>0</v>
      </c>
      <c r="Z68" s="42">
        <v>0</v>
      </c>
      <c r="AA68" s="43">
        <v>0</v>
      </c>
      <c r="AB68" s="42">
        <v>0</v>
      </c>
      <c r="AC68" s="43">
        <v>0</v>
      </c>
      <c r="AD68" s="42">
        <v>1</v>
      </c>
      <c r="AE68" s="43">
        <v>46100</v>
      </c>
      <c r="AF68" s="369"/>
      <c r="AG68" s="369"/>
      <c r="AH68" s="369"/>
      <c r="AI68" s="369"/>
      <c r="AJ68" s="369"/>
      <c r="AK68" s="369"/>
      <c r="AL68" s="369"/>
      <c r="AM68" s="369"/>
      <c r="AN68" s="369"/>
      <c r="AO68" s="369"/>
      <c r="AP68" s="369"/>
    </row>
    <row r="69" spans="1:42" ht="51.75" customHeight="1" x14ac:dyDescent="0.25">
      <c r="A69" s="516" t="s">
        <v>1111</v>
      </c>
      <c r="B69" s="516"/>
      <c r="C69" s="516"/>
      <c r="D69" s="516"/>
      <c r="E69" s="369"/>
      <c r="F69" s="369" t="s">
        <v>1477</v>
      </c>
      <c r="G69" s="369"/>
      <c r="H69" s="189" t="s">
        <v>1118</v>
      </c>
      <c r="I69" s="369">
        <v>2023</v>
      </c>
      <c r="J69" s="193">
        <v>46100</v>
      </c>
      <c r="K69" s="369"/>
      <c r="L69" s="374">
        <f t="shared" si="34"/>
        <v>46100</v>
      </c>
      <c r="M69" s="374">
        <f t="shared" si="35"/>
        <v>46100</v>
      </c>
      <c r="N69" s="369"/>
      <c r="O69" s="369"/>
      <c r="P69" s="369"/>
      <c r="Q69" s="369"/>
      <c r="R69" s="369"/>
      <c r="S69" s="369"/>
      <c r="T69" s="42">
        <v>0</v>
      </c>
      <c r="U69" s="43">
        <v>0</v>
      </c>
      <c r="V69" s="42">
        <v>0</v>
      </c>
      <c r="W69" s="43">
        <v>0</v>
      </c>
      <c r="X69" s="42">
        <v>0</v>
      </c>
      <c r="Y69" s="43">
        <v>0</v>
      </c>
      <c r="Z69" s="42">
        <v>0</v>
      </c>
      <c r="AA69" s="43">
        <v>0</v>
      </c>
      <c r="AB69" s="42">
        <v>0</v>
      </c>
      <c r="AC69" s="43">
        <v>0</v>
      </c>
      <c r="AD69" s="42">
        <v>1</v>
      </c>
      <c r="AE69" s="43">
        <v>46100</v>
      </c>
      <c r="AF69" s="369"/>
      <c r="AG69" s="369"/>
      <c r="AH69" s="369"/>
      <c r="AI69" s="369"/>
      <c r="AJ69" s="369"/>
      <c r="AK69" s="369"/>
      <c r="AL69" s="369"/>
      <c r="AM69" s="369"/>
      <c r="AN69" s="369"/>
      <c r="AO69" s="369"/>
      <c r="AP69" s="369"/>
    </row>
    <row r="70" spans="1:42" ht="51.75" customHeight="1" x14ac:dyDescent="0.25">
      <c r="A70" s="516" t="s">
        <v>1111</v>
      </c>
      <c r="B70" s="516"/>
      <c r="C70" s="516"/>
      <c r="D70" s="516"/>
      <c r="E70" s="369"/>
      <c r="F70" s="369" t="s">
        <v>1478</v>
      </c>
      <c r="G70" s="369"/>
      <c r="H70" s="189" t="s">
        <v>1119</v>
      </c>
      <c r="I70" s="369">
        <v>2023</v>
      </c>
      <c r="J70" s="193">
        <v>46100</v>
      </c>
      <c r="K70" s="369"/>
      <c r="L70" s="374">
        <f t="shared" si="34"/>
        <v>46100</v>
      </c>
      <c r="M70" s="374">
        <f t="shared" si="35"/>
        <v>46100</v>
      </c>
      <c r="N70" s="369"/>
      <c r="O70" s="369"/>
      <c r="P70" s="369"/>
      <c r="Q70" s="369"/>
      <c r="R70" s="369"/>
      <c r="S70" s="369"/>
      <c r="T70" s="42">
        <v>0</v>
      </c>
      <c r="U70" s="43">
        <v>0</v>
      </c>
      <c r="V70" s="42">
        <v>0</v>
      </c>
      <c r="W70" s="43">
        <v>0</v>
      </c>
      <c r="X70" s="42">
        <v>0</v>
      </c>
      <c r="Y70" s="43">
        <v>0</v>
      </c>
      <c r="Z70" s="42">
        <v>0</v>
      </c>
      <c r="AA70" s="43">
        <v>0</v>
      </c>
      <c r="AB70" s="42">
        <v>0</v>
      </c>
      <c r="AC70" s="43">
        <v>0</v>
      </c>
      <c r="AD70" s="42">
        <v>1</v>
      </c>
      <c r="AE70" s="43">
        <v>46100</v>
      </c>
      <c r="AF70" s="369"/>
      <c r="AG70" s="369"/>
      <c r="AH70" s="369"/>
      <c r="AI70" s="369"/>
      <c r="AJ70" s="369"/>
      <c r="AK70" s="369"/>
      <c r="AL70" s="369"/>
      <c r="AM70" s="369"/>
      <c r="AN70" s="369"/>
      <c r="AO70" s="369"/>
      <c r="AP70" s="369"/>
    </row>
    <row r="71" spans="1:42" ht="54.75" customHeight="1" x14ac:dyDescent="0.25">
      <c r="A71" s="516" t="s">
        <v>1111</v>
      </c>
      <c r="B71" s="516"/>
      <c r="C71" s="516"/>
      <c r="D71" s="516"/>
      <c r="E71" s="369"/>
      <c r="F71" s="369" t="s">
        <v>1479</v>
      </c>
      <c r="G71" s="369"/>
      <c r="H71" s="189" t="s">
        <v>1120</v>
      </c>
      <c r="I71" s="369">
        <v>2023</v>
      </c>
      <c r="J71" s="193">
        <v>46100</v>
      </c>
      <c r="K71" s="369"/>
      <c r="L71" s="374">
        <f t="shared" si="34"/>
        <v>46100</v>
      </c>
      <c r="M71" s="374">
        <f t="shared" si="35"/>
        <v>46100</v>
      </c>
      <c r="N71" s="369"/>
      <c r="O71" s="369"/>
      <c r="P71" s="369"/>
      <c r="Q71" s="369"/>
      <c r="R71" s="369"/>
      <c r="S71" s="369"/>
      <c r="T71" s="42">
        <v>0</v>
      </c>
      <c r="U71" s="43">
        <v>0</v>
      </c>
      <c r="V71" s="42">
        <v>0</v>
      </c>
      <c r="W71" s="43">
        <v>0</v>
      </c>
      <c r="X71" s="42">
        <v>0</v>
      </c>
      <c r="Y71" s="43">
        <v>0</v>
      </c>
      <c r="Z71" s="42">
        <v>0</v>
      </c>
      <c r="AA71" s="43">
        <v>0</v>
      </c>
      <c r="AB71" s="42">
        <v>0</v>
      </c>
      <c r="AC71" s="43">
        <v>0</v>
      </c>
      <c r="AD71" s="42">
        <v>1</v>
      </c>
      <c r="AE71" s="43">
        <v>46100</v>
      </c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9"/>
    </row>
    <row r="72" spans="1:42" ht="38.25" x14ac:dyDescent="0.25">
      <c r="A72" s="516" t="s">
        <v>1111</v>
      </c>
      <c r="B72" s="516"/>
      <c r="C72" s="516"/>
      <c r="D72" s="516"/>
      <c r="E72" s="369"/>
      <c r="F72" s="369" t="s">
        <v>1480</v>
      </c>
      <c r="G72" s="369"/>
      <c r="H72" s="189" t="s">
        <v>1121</v>
      </c>
      <c r="I72" s="369">
        <v>2023</v>
      </c>
      <c r="J72" s="193">
        <v>46100</v>
      </c>
      <c r="K72" s="369"/>
      <c r="L72" s="374">
        <f t="shared" si="34"/>
        <v>46100</v>
      </c>
      <c r="M72" s="374">
        <f t="shared" si="35"/>
        <v>46100</v>
      </c>
      <c r="N72" s="369"/>
      <c r="O72" s="369"/>
      <c r="P72" s="369"/>
      <c r="Q72" s="369"/>
      <c r="R72" s="369"/>
      <c r="S72" s="369"/>
      <c r="T72" s="42">
        <v>0</v>
      </c>
      <c r="U72" s="43">
        <v>0</v>
      </c>
      <c r="V72" s="42">
        <v>0</v>
      </c>
      <c r="W72" s="43">
        <v>0</v>
      </c>
      <c r="X72" s="42">
        <v>0</v>
      </c>
      <c r="Y72" s="43">
        <v>0</v>
      </c>
      <c r="Z72" s="42">
        <v>0</v>
      </c>
      <c r="AA72" s="43">
        <v>0</v>
      </c>
      <c r="AB72" s="42">
        <v>0</v>
      </c>
      <c r="AC72" s="43">
        <v>0</v>
      </c>
      <c r="AD72" s="42">
        <v>1</v>
      </c>
      <c r="AE72" s="43">
        <v>46100</v>
      </c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9"/>
    </row>
    <row r="73" spans="1:42" ht="38.25" x14ac:dyDescent="0.25">
      <c r="A73" s="516" t="s">
        <v>1111</v>
      </c>
      <c r="B73" s="516"/>
      <c r="C73" s="516"/>
      <c r="D73" s="516"/>
      <c r="E73" s="369"/>
      <c r="F73" s="369" t="s">
        <v>1481</v>
      </c>
      <c r="G73" s="369"/>
      <c r="H73" s="189" t="s">
        <v>1122</v>
      </c>
      <c r="I73" s="369">
        <v>2023</v>
      </c>
      <c r="J73" s="193">
        <v>46100</v>
      </c>
      <c r="K73" s="369"/>
      <c r="L73" s="374">
        <f t="shared" si="34"/>
        <v>46100</v>
      </c>
      <c r="M73" s="374">
        <f t="shared" si="35"/>
        <v>46100</v>
      </c>
      <c r="N73" s="369"/>
      <c r="O73" s="369"/>
      <c r="P73" s="369"/>
      <c r="Q73" s="369"/>
      <c r="R73" s="369"/>
      <c r="S73" s="369"/>
      <c r="T73" s="42">
        <v>0</v>
      </c>
      <c r="U73" s="43">
        <v>0</v>
      </c>
      <c r="V73" s="42">
        <v>0</v>
      </c>
      <c r="W73" s="43">
        <v>0</v>
      </c>
      <c r="X73" s="42">
        <v>0</v>
      </c>
      <c r="Y73" s="43">
        <v>0</v>
      </c>
      <c r="Z73" s="42">
        <v>0</v>
      </c>
      <c r="AA73" s="43">
        <v>0</v>
      </c>
      <c r="AB73" s="42">
        <v>0</v>
      </c>
      <c r="AC73" s="43">
        <v>0</v>
      </c>
      <c r="AD73" s="42">
        <v>1</v>
      </c>
      <c r="AE73" s="43">
        <v>46100</v>
      </c>
      <c r="AF73" s="369"/>
      <c r="AG73" s="369"/>
      <c r="AH73" s="369"/>
      <c r="AI73" s="369"/>
      <c r="AJ73" s="369"/>
      <c r="AK73" s="369"/>
      <c r="AL73" s="369"/>
      <c r="AM73" s="369"/>
      <c r="AN73" s="369"/>
      <c r="AO73" s="369"/>
      <c r="AP73" s="369"/>
    </row>
    <row r="74" spans="1:42" ht="38.25" x14ac:dyDescent="0.25">
      <c r="A74" s="516" t="s">
        <v>1111</v>
      </c>
      <c r="B74" s="516"/>
      <c r="C74" s="516"/>
      <c r="D74" s="516"/>
      <c r="E74" s="369"/>
      <c r="F74" s="369" t="s">
        <v>1482</v>
      </c>
      <c r="G74" s="369"/>
      <c r="H74" s="189" t="s">
        <v>1123</v>
      </c>
      <c r="I74" s="369">
        <v>2023</v>
      </c>
      <c r="J74" s="193">
        <v>46100</v>
      </c>
      <c r="K74" s="369"/>
      <c r="L74" s="374">
        <f t="shared" si="34"/>
        <v>46100</v>
      </c>
      <c r="M74" s="374">
        <f t="shared" si="35"/>
        <v>46100</v>
      </c>
      <c r="N74" s="369"/>
      <c r="O74" s="369"/>
      <c r="P74" s="369"/>
      <c r="Q74" s="369"/>
      <c r="R74" s="369"/>
      <c r="S74" s="369"/>
      <c r="T74" s="42">
        <v>0</v>
      </c>
      <c r="U74" s="43">
        <v>0</v>
      </c>
      <c r="V74" s="42">
        <v>0</v>
      </c>
      <c r="W74" s="43">
        <v>0</v>
      </c>
      <c r="X74" s="42">
        <v>0</v>
      </c>
      <c r="Y74" s="43">
        <v>0</v>
      </c>
      <c r="Z74" s="42">
        <v>0</v>
      </c>
      <c r="AA74" s="43">
        <v>0</v>
      </c>
      <c r="AB74" s="42">
        <v>0</v>
      </c>
      <c r="AC74" s="43">
        <v>0</v>
      </c>
      <c r="AD74" s="42">
        <v>1</v>
      </c>
      <c r="AE74" s="43">
        <v>46100</v>
      </c>
      <c r="AF74" s="369"/>
      <c r="AG74" s="369"/>
      <c r="AH74" s="369"/>
      <c r="AI74" s="369"/>
      <c r="AJ74" s="369"/>
      <c r="AK74" s="369"/>
      <c r="AL74" s="369"/>
      <c r="AM74" s="369"/>
      <c r="AN74" s="369"/>
      <c r="AO74" s="369"/>
      <c r="AP74" s="369"/>
    </row>
    <row r="75" spans="1:42" ht="38.25" x14ac:dyDescent="0.25">
      <c r="A75" s="516" t="s">
        <v>1111</v>
      </c>
      <c r="B75" s="516"/>
      <c r="C75" s="516"/>
      <c r="D75" s="516"/>
      <c r="E75" s="369"/>
      <c r="F75" s="369" t="s">
        <v>1483</v>
      </c>
      <c r="G75" s="369"/>
      <c r="H75" s="189" t="s">
        <v>1124</v>
      </c>
      <c r="I75" s="369">
        <v>2023</v>
      </c>
      <c r="J75" s="193">
        <v>46100</v>
      </c>
      <c r="K75" s="369"/>
      <c r="L75" s="374">
        <f t="shared" si="34"/>
        <v>46100</v>
      </c>
      <c r="M75" s="374">
        <f t="shared" si="35"/>
        <v>46100</v>
      </c>
      <c r="N75" s="369"/>
      <c r="O75" s="369"/>
      <c r="P75" s="369"/>
      <c r="Q75" s="369"/>
      <c r="R75" s="369"/>
      <c r="S75" s="369"/>
      <c r="T75" s="42">
        <v>0</v>
      </c>
      <c r="U75" s="43">
        <v>0</v>
      </c>
      <c r="V75" s="42">
        <v>0</v>
      </c>
      <c r="W75" s="43">
        <v>0</v>
      </c>
      <c r="X75" s="42">
        <v>0</v>
      </c>
      <c r="Y75" s="43">
        <v>0</v>
      </c>
      <c r="Z75" s="42">
        <v>0</v>
      </c>
      <c r="AA75" s="43">
        <v>0</v>
      </c>
      <c r="AB75" s="42">
        <v>0</v>
      </c>
      <c r="AC75" s="43">
        <v>0</v>
      </c>
      <c r="AD75" s="42">
        <v>1</v>
      </c>
      <c r="AE75" s="43">
        <v>46100</v>
      </c>
      <c r="AF75" s="369"/>
      <c r="AG75" s="369"/>
      <c r="AH75" s="369"/>
      <c r="AI75" s="369"/>
      <c r="AJ75" s="369"/>
      <c r="AK75" s="369"/>
      <c r="AL75" s="369"/>
      <c r="AM75" s="369"/>
      <c r="AN75" s="369"/>
      <c r="AO75" s="369"/>
      <c r="AP75" s="369"/>
    </row>
    <row r="76" spans="1:42" ht="38.25" x14ac:dyDescent="0.25">
      <c r="A76" s="516" t="s">
        <v>1111</v>
      </c>
      <c r="B76" s="516"/>
      <c r="C76" s="516"/>
      <c r="D76" s="516"/>
      <c r="E76" s="369"/>
      <c r="F76" s="369" t="s">
        <v>1484</v>
      </c>
      <c r="G76" s="369"/>
      <c r="H76" s="189" t="s">
        <v>1125</v>
      </c>
      <c r="I76" s="369">
        <v>2023</v>
      </c>
      <c r="J76" s="193">
        <v>46100</v>
      </c>
      <c r="K76" s="369"/>
      <c r="L76" s="374">
        <f t="shared" si="34"/>
        <v>46100</v>
      </c>
      <c r="M76" s="374">
        <f t="shared" si="35"/>
        <v>46100</v>
      </c>
      <c r="N76" s="369"/>
      <c r="O76" s="369"/>
      <c r="P76" s="369"/>
      <c r="Q76" s="369"/>
      <c r="R76" s="369"/>
      <c r="S76" s="369"/>
      <c r="T76" s="42">
        <v>0</v>
      </c>
      <c r="U76" s="43">
        <v>0</v>
      </c>
      <c r="V76" s="42">
        <v>0</v>
      </c>
      <c r="W76" s="43">
        <v>0</v>
      </c>
      <c r="X76" s="42">
        <v>0</v>
      </c>
      <c r="Y76" s="43">
        <v>0</v>
      </c>
      <c r="Z76" s="42">
        <v>0</v>
      </c>
      <c r="AA76" s="43">
        <v>0</v>
      </c>
      <c r="AB76" s="42">
        <v>0</v>
      </c>
      <c r="AC76" s="43">
        <v>0</v>
      </c>
      <c r="AD76" s="42">
        <v>1</v>
      </c>
      <c r="AE76" s="43">
        <v>46100</v>
      </c>
      <c r="AF76" s="369"/>
      <c r="AG76" s="369"/>
      <c r="AH76" s="369"/>
      <c r="AI76" s="369"/>
      <c r="AJ76" s="369"/>
      <c r="AK76" s="369"/>
      <c r="AL76" s="369"/>
      <c r="AM76" s="369"/>
      <c r="AN76" s="369"/>
      <c r="AO76" s="369"/>
      <c r="AP76" s="369"/>
    </row>
    <row r="77" spans="1:42" ht="49.5" customHeight="1" x14ac:dyDescent="0.25">
      <c r="A77" s="516" t="s">
        <v>880</v>
      </c>
      <c r="B77" s="516"/>
      <c r="C77" s="516"/>
      <c r="D77" s="516"/>
      <c r="E77" s="369"/>
      <c r="F77" s="369" t="s">
        <v>1293</v>
      </c>
      <c r="G77" s="369"/>
      <c r="H77" s="189" t="s">
        <v>881</v>
      </c>
      <c r="I77" s="369">
        <v>2022</v>
      </c>
      <c r="J77" s="193">
        <v>10758</v>
      </c>
      <c r="K77" s="369"/>
      <c r="L77" s="374">
        <f t="shared" ref="L77:L78" si="36">J77</f>
        <v>10758</v>
      </c>
      <c r="M77" s="374">
        <f t="shared" ref="M77:M78" si="37">L77</f>
        <v>10758</v>
      </c>
      <c r="N77" s="369"/>
      <c r="O77" s="369"/>
      <c r="P77" s="369"/>
      <c r="Q77" s="369"/>
      <c r="R77" s="369"/>
      <c r="S77" s="369"/>
      <c r="T77" s="42">
        <v>0</v>
      </c>
      <c r="U77" s="43">
        <v>0</v>
      </c>
      <c r="V77" s="42">
        <v>0</v>
      </c>
      <c r="W77" s="43">
        <v>0</v>
      </c>
      <c r="X77" s="42">
        <v>0</v>
      </c>
      <c r="Y77" s="43">
        <v>0</v>
      </c>
      <c r="Z77" s="42">
        <v>0</v>
      </c>
      <c r="AA77" s="43">
        <v>0</v>
      </c>
      <c r="AB77" s="42">
        <v>1</v>
      </c>
      <c r="AC77" s="43">
        <v>10758</v>
      </c>
      <c r="AD77" s="42">
        <v>0</v>
      </c>
      <c r="AE77" s="43">
        <v>0</v>
      </c>
      <c r="AF77" s="369"/>
      <c r="AG77" s="369"/>
      <c r="AH77" s="369"/>
      <c r="AI77" s="369"/>
      <c r="AJ77" s="369"/>
      <c r="AK77" s="369"/>
      <c r="AL77" s="369"/>
      <c r="AM77" s="369"/>
      <c r="AN77" s="369"/>
      <c r="AO77" s="369"/>
      <c r="AP77" s="369"/>
    </row>
    <row r="78" spans="1:42" ht="54.75" customHeight="1" x14ac:dyDescent="0.25">
      <c r="A78" s="516" t="s">
        <v>888</v>
      </c>
      <c r="B78" s="516"/>
      <c r="C78" s="516"/>
      <c r="D78" s="516"/>
      <c r="E78" s="369"/>
      <c r="F78" s="369" t="s">
        <v>1293</v>
      </c>
      <c r="G78" s="369"/>
      <c r="H78" s="189" t="s">
        <v>893</v>
      </c>
      <c r="I78" s="369">
        <v>2022</v>
      </c>
      <c r="J78" s="193">
        <v>12642</v>
      </c>
      <c r="K78" s="369"/>
      <c r="L78" s="374">
        <f t="shared" si="36"/>
        <v>12642</v>
      </c>
      <c r="M78" s="374">
        <f t="shared" si="37"/>
        <v>12642</v>
      </c>
      <c r="N78" s="369"/>
      <c r="O78" s="369"/>
      <c r="P78" s="369"/>
      <c r="Q78" s="369"/>
      <c r="R78" s="369"/>
      <c r="S78" s="369"/>
      <c r="T78" s="42">
        <v>0</v>
      </c>
      <c r="U78" s="43">
        <v>0</v>
      </c>
      <c r="V78" s="42">
        <v>0</v>
      </c>
      <c r="W78" s="43">
        <v>0</v>
      </c>
      <c r="X78" s="42">
        <v>0</v>
      </c>
      <c r="Y78" s="43">
        <v>0</v>
      </c>
      <c r="Z78" s="42">
        <v>0</v>
      </c>
      <c r="AA78" s="43">
        <v>0</v>
      </c>
      <c r="AB78" s="42">
        <v>1</v>
      </c>
      <c r="AC78" s="43">
        <v>12642</v>
      </c>
      <c r="AD78" s="42">
        <v>0</v>
      </c>
      <c r="AE78" s="43">
        <v>0</v>
      </c>
      <c r="AF78" s="369"/>
      <c r="AG78" s="369"/>
      <c r="AH78" s="369"/>
      <c r="AI78" s="369"/>
      <c r="AJ78" s="369"/>
      <c r="AK78" s="369"/>
      <c r="AL78" s="369"/>
      <c r="AM78" s="369"/>
      <c r="AN78" s="369"/>
      <c r="AO78" s="369"/>
      <c r="AP78" s="369"/>
    </row>
    <row r="79" spans="1:42" ht="18" customHeight="1" x14ac:dyDescent="0.25">
      <c r="A79" s="476" t="s">
        <v>189</v>
      </c>
      <c r="B79" s="476"/>
      <c r="C79" s="476"/>
      <c r="D79" s="476"/>
      <c r="E79" s="369">
        <v>4200</v>
      </c>
      <c r="F79" s="369"/>
      <c r="G79" s="369"/>
      <c r="H79" s="369"/>
      <c r="I79" s="369"/>
      <c r="J79" s="369"/>
      <c r="K79" s="369"/>
      <c r="L79" s="374"/>
      <c r="M79" s="374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69"/>
      <c r="AN79" s="369"/>
      <c r="AO79" s="369"/>
      <c r="AP79" s="369"/>
    </row>
    <row r="80" spans="1:42" ht="18.600000000000001" customHeight="1" x14ac:dyDescent="0.25">
      <c r="A80" s="477" t="s">
        <v>20</v>
      </c>
      <c r="B80" s="477"/>
      <c r="C80" s="477"/>
      <c r="D80" s="477"/>
      <c r="E80" s="369">
        <v>9000</v>
      </c>
      <c r="F80" s="369"/>
      <c r="G80" s="369"/>
      <c r="H80" s="369"/>
      <c r="I80" s="369"/>
      <c r="J80" s="374">
        <f>J9+J16+J29+J59</f>
        <v>1785758.25</v>
      </c>
      <c r="K80" s="374">
        <f>K9+K16+K29+K59</f>
        <v>85974.27</v>
      </c>
      <c r="L80" s="374">
        <f>J80</f>
        <v>1785758.25</v>
      </c>
      <c r="M80" s="374">
        <f>L80</f>
        <v>1785758.25</v>
      </c>
      <c r="N80" s="369"/>
      <c r="O80" s="369"/>
      <c r="P80" s="369"/>
      <c r="Q80" s="369"/>
      <c r="R80" s="370"/>
      <c r="S80" s="370"/>
      <c r="T80" s="373">
        <f t="shared" ref="T80:AE80" si="38">T9+T16+T29+T59</f>
        <v>0</v>
      </c>
      <c r="U80" s="371">
        <f t="shared" si="38"/>
        <v>0</v>
      </c>
      <c r="V80" s="373">
        <f t="shared" si="38"/>
        <v>0</v>
      </c>
      <c r="W80" s="371">
        <f t="shared" si="38"/>
        <v>0</v>
      </c>
      <c r="X80" s="373">
        <f t="shared" si="38"/>
        <v>0</v>
      </c>
      <c r="Y80" s="371">
        <f t="shared" si="38"/>
        <v>0</v>
      </c>
      <c r="Z80" s="373">
        <f t="shared" si="38"/>
        <v>7</v>
      </c>
      <c r="AA80" s="371">
        <f t="shared" si="38"/>
        <v>457138</v>
      </c>
      <c r="AB80" s="373">
        <f t="shared" si="38"/>
        <v>27</v>
      </c>
      <c r="AC80" s="371">
        <f t="shared" si="38"/>
        <v>625108.94999999995</v>
      </c>
      <c r="AD80" s="373">
        <f t="shared" si="38"/>
        <v>14</v>
      </c>
      <c r="AE80" s="371">
        <f t="shared" si="38"/>
        <v>703511.3</v>
      </c>
      <c r="AF80" s="369"/>
      <c r="AG80" s="369"/>
      <c r="AH80" s="369"/>
      <c r="AI80" s="369"/>
      <c r="AJ80" s="369"/>
      <c r="AK80" s="369"/>
      <c r="AL80" s="369"/>
      <c r="AM80" s="369"/>
      <c r="AN80" s="369"/>
      <c r="AO80" s="371">
        <f>AO17</f>
        <v>85974.27</v>
      </c>
      <c r="AP80" s="369"/>
    </row>
    <row r="81" spans="2:14" ht="19.149999999999999" customHeight="1" x14ac:dyDescent="0.25"/>
    <row r="82" spans="2:14" ht="18" customHeight="1" x14ac:dyDescent="0.25">
      <c r="B82" s="71"/>
      <c r="C82" s="71"/>
      <c r="D82" s="71"/>
      <c r="E82" s="71" t="s">
        <v>37</v>
      </c>
    </row>
    <row r="83" spans="2:14" ht="22.5" customHeight="1" x14ac:dyDescent="0.25">
      <c r="B83" s="71"/>
      <c r="C83" s="71"/>
      <c r="D83" s="71"/>
      <c r="E83" s="71" t="s">
        <v>329</v>
      </c>
      <c r="G83" s="71"/>
      <c r="H83" s="71"/>
      <c r="I83" s="71"/>
      <c r="J83" s="71"/>
      <c r="K83" s="71"/>
      <c r="L83" s="71"/>
      <c r="M83" s="71"/>
      <c r="N83" s="71"/>
    </row>
  </sheetData>
  <mergeCells count="426">
    <mergeCell ref="A22:D22"/>
    <mergeCell ref="A21:D21"/>
    <mergeCell ref="A3:D7"/>
    <mergeCell ref="E3:E7"/>
    <mergeCell ref="F3:F7"/>
    <mergeCell ref="G3:G7"/>
    <mergeCell ref="H3:H7"/>
    <mergeCell ref="I3:I7"/>
    <mergeCell ref="J3:J7"/>
    <mergeCell ref="A17:D17"/>
    <mergeCell ref="E17:E18"/>
    <mergeCell ref="F17:F18"/>
    <mergeCell ref="G17:G18"/>
    <mergeCell ref="A18:D18"/>
    <mergeCell ref="H17:H18"/>
    <mergeCell ref="K3:K7"/>
    <mergeCell ref="I10:I11"/>
    <mergeCell ref="J10:J11"/>
    <mergeCell ref="K10:K11"/>
    <mergeCell ref="L10:L11"/>
    <mergeCell ref="M10:M11"/>
    <mergeCell ref="A8:D8"/>
    <mergeCell ref="A9:D9"/>
    <mergeCell ref="A10:D10"/>
    <mergeCell ref="E10:E11"/>
    <mergeCell ref="F10:F11"/>
    <mergeCell ref="G10:G11"/>
    <mergeCell ref="A11:D11"/>
    <mergeCell ref="L3:S3"/>
    <mergeCell ref="L4:L7"/>
    <mergeCell ref="M4:S4"/>
    <mergeCell ref="M5:M7"/>
    <mergeCell ref="N5:P5"/>
    <mergeCell ref="Q5:S5"/>
    <mergeCell ref="N6:N7"/>
    <mergeCell ref="O6:P6"/>
    <mergeCell ref="Q6:Q7"/>
    <mergeCell ref="R6:S6"/>
    <mergeCell ref="N10:N11"/>
    <mergeCell ref="O10:O11"/>
    <mergeCell ref="P10:P11"/>
    <mergeCell ref="Q10:Q11"/>
    <mergeCell ref="R10:R11"/>
    <mergeCell ref="S10:S11"/>
    <mergeCell ref="H10:H11"/>
    <mergeCell ref="A15:D15"/>
    <mergeCell ref="A16:D16"/>
    <mergeCell ref="R12:R13"/>
    <mergeCell ref="S12:S13"/>
    <mergeCell ref="A13:D13"/>
    <mergeCell ref="A14:D14"/>
    <mergeCell ref="J12:J13"/>
    <mergeCell ref="K12:K13"/>
    <mergeCell ref="L12:L13"/>
    <mergeCell ref="M12:M13"/>
    <mergeCell ref="N12:N13"/>
    <mergeCell ref="O12:O13"/>
    <mergeCell ref="A12:D12"/>
    <mergeCell ref="E12:E13"/>
    <mergeCell ref="F12:F13"/>
    <mergeCell ref="G12:G13"/>
    <mergeCell ref="H12:H13"/>
    <mergeCell ref="P12:P13"/>
    <mergeCell ref="Q12:Q13"/>
    <mergeCell ref="N17:N18"/>
    <mergeCell ref="O17:O18"/>
    <mergeCell ref="P17:P18"/>
    <mergeCell ref="Q17:Q18"/>
    <mergeCell ref="I12:I13"/>
    <mergeCell ref="R17:R18"/>
    <mergeCell ref="S17:S18"/>
    <mergeCell ref="I17:I18"/>
    <mergeCell ref="J17:J18"/>
    <mergeCell ref="K17:K18"/>
    <mergeCell ref="L17:L18"/>
    <mergeCell ref="M17:M18"/>
    <mergeCell ref="P19:P20"/>
    <mergeCell ref="Q19:Q20"/>
    <mergeCell ref="R19:R20"/>
    <mergeCell ref="S19:S20"/>
    <mergeCell ref="A20:D20"/>
    <mergeCell ref="J19:J20"/>
    <mergeCell ref="K19:K20"/>
    <mergeCell ref="L19:L20"/>
    <mergeCell ref="M19:M20"/>
    <mergeCell ref="N19:N20"/>
    <mergeCell ref="O19:O20"/>
    <mergeCell ref="A19:D19"/>
    <mergeCell ref="E19:E20"/>
    <mergeCell ref="F19:F20"/>
    <mergeCell ref="G19:G20"/>
    <mergeCell ref="H19:H20"/>
    <mergeCell ref="I19:I20"/>
    <mergeCell ref="A27:D27"/>
    <mergeCell ref="A23:D23"/>
    <mergeCell ref="A24:D24"/>
    <mergeCell ref="A25:D25"/>
    <mergeCell ref="A26:D26"/>
    <mergeCell ref="A28:D28"/>
    <mergeCell ref="A35:D35"/>
    <mergeCell ref="A36:D36"/>
    <mergeCell ref="A37:D37"/>
    <mergeCell ref="A29:D29"/>
    <mergeCell ref="A57:D57"/>
    <mergeCell ref="A58:D58"/>
    <mergeCell ref="A50:D50"/>
    <mergeCell ref="A51:D51"/>
    <mergeCell ref="A52:D52"/>
    <mergeCell ref="A53:D53"/>
    <mergeCell ref="A54:D54"/>
    <mergeCell ref="A55:D55"/>
    <mergeCell ref="A48:D48"/>
    <mergeCell ref="A49:D49"/>
    <mergeCell ref="A56:D56"/>
    <mergeCell ref="P30:P31"/>
    <mergeCell ref="Q30:Q31"/>
    <mergeCell ref="R30:R31"/>
    <mergeCell ref="S30:S31"/>
    <mergeCell ref="A31:D31"/>
    <mergeCell ref="A32:D32"/>
    <mergeCell ref="E32:E33"/>
    <mergeCell ref="F32:F33"/>
    <mergeCell ref="G32:G33"/>
    <mergeCell ref="H32:H33"/>
    <mergeCell ref="J30:J31"/>
    <mergeCell ref="K30:K31"/>
    <mergeCell ref="L30:L31"/>
    <mergeCell ref="M30:M31"/>
    <mergeCell ref="N30:N31"/>
    <mergeCell ref="O30:O31"/>
    <mergeCell ref="A30:D30"/>
    <mergeCell ref="E30:E31"/>
    <mergeCell ref="F30:F31"/>
    <mergeCell ref="G30:G31"/>
    <mergeCell ref="H30:H31"/>
    <mergeCell ref="I30:I31"/>
    <mergeCell ref="R32:R33"/>
    <mergeCell ref="S32:S33"/>
    <mergeCell ref="O32:O33"/>
    <mergeCell ref="P32:P33"/>
    <mergeCell ref="Q32:Q33"/>
    <mergeCell ref="A46:D46"/>
    <mergeCell ref="A47:D47"/>
    <mergeCell ref="A33:D33"/>
    <mergeCell ref="I32:I33"/>
    <mergeCell ref="J32:J33"/>
    <mergeCell ref="K32:K33"/>
    <mergeCell ref="L32:L33"/>
    <mergeCell ref="M32:M33"/>
    <mergeCell ref="N32:N33"/>
    <mergeCell ref="A34:D34"/>
    <mergeCell ref="A45:D45"/>
    <mergeCell ref="A44:D44"/>
    <mergeCell ref="A38:D38"/>
    <mergeCell ref="A39:D39"/>
    <mergeCell ref="A40:D40"/>
    <mergeCell ref="A41:D41"/>
    <mergeCell ref="A42:D42"/>
    <mergeCell ref="A43:D43"/>
    <mergeCell ref="A59:D59"/>
    <mergeCell ref="A60:D60"/>
    <mergeCell ref="E60:E61"/>
    <mergeCell ref="F60:F61"/>
    <mergeCell ref="S60:S61"/>
    <mergeCell ref="A61:D61"/>
    <mergeCell ref="A62:D62"/>
    <mergeCell ref="E62:E63"/>
    <mergeCell ref="F62:F63"/>
    <mergeCell ref="G62:G63"/>
    <mergeCell ref="H62:H63"/>
    <mergeCell ref="I62:I63"/>
    <mergeCell ref="J62:J63"/>
    <mergeCell ref="K62:K63"/>
    <mergeCell ref="M60:M61"/>
    <mergeCell ref="N60:N61"/>
    <mergeCell ref="O60:O61"/>
    <mergeCell ref="P60:P61"/>
    <mergeCell ref="Q60:Q61"/>
    <mergeCell ref="R60:R61"/>
    <mergeCell ref="G60:G61"/>
    <mergeCell ref="H60:H61"/>
    <mergeCell ref="I60:I61"/>
    <mergeCell ref="J60:J61"/>
    <mergeCell ref="K60:K61"/>
    <mergeCell ref="L60:L61"/>
    <mergeCell ref="R62:R63"/>
    <mergeCell ref="S62:S63"/>
    <mergeCell ref="A63:D63"/>
    <mergeCell ref="L62:L63"/>
    <mergeCell ref="M62:M63"/>
    <mergeCell ref="N62:N63"/>
    <mergeCell ref="O62:O63"/>
    <mergeCell ref="P62:P63"/>
    <mergeCell ref="Q62:Q63"/>
    <mergeCell ref="A64:D64"/>
    <mergeCell ref="A65:D65"/>
    <mergeCell ref="A66:D66"/>
    <mergeCell ref="A67:D67"/>
    <mergeCell ref="A74:D74"/>
    <mergeCell ref="A75:D75"/>
    <mergeCell ref="A76:D76"/>
    <mergeCell ref="A68:D68"/>
    <mergeCell ref="A69:D69"/>
    <mergeCell ref="A70:D70"/>
    <mergeCell ref="A71:D71"/>
    <mergeCell ref="A72:D72"/>
    <mergeCell ref="A73:D73"/>
    <mergeCell ref="A77:D77"/>
    <mergeCell ref="A78:D78"/>
    <mergeCell ref="A79:D79"/>
    <mergeCell ref="A80:D80"/>
    <mergeCell ref="T3:AE3"/>
    <mergeCell ref="T4:U4"/>
    <mergeCell ref="V4:W4"/>
    <mergeCell ref="X4:Y4"/>
    <mergeCell ref="Z4:AA4"/>
    <mergeCell ref="AB4:AC4"/>
    <mergeCell ref="AD4:AE4"/>
    <mergeCell ref="AB10:AB11"/>
    <mergeCell ref="AC10:AC11"/>
    <mergeCell ref="AD10:AD11"/>
    <mergeCell ref="AE10:AE11"/>
    <mergeCell ref="T12:T13"/>
    <mergeCell ref="U12:U13"/>
    <mergeCell ref="V12:V13"/>
    <mergeCell ref="V10:V11"/>
    <mergeCell ref="W10:W11"/>
    <mergeCell ref="X10:X11"/>
    <mergeCell ref="Y10:Y11"/>
    <mergeCell ref="Z10:Z11"/>
    <mergeCell ref="AA10:AA11"/>
    <mergeCell ref="T10:T11"/>
    <mergeCell ref="U10:U11"/>
    <mergeCell ref="AC12:AC13"/>
    <mergeCell ref="AD12:AD13"/>
    <mergeCell ref="AE12:AE13"/>
    <mergeCell ref="W12:W13"/>
    <mergeCell ref="X12:X13"/>
    <mergeCell ref="Y12:Y13"/>
    <mergeCell ref="Z12:Z13"/>
    <mergeCell ref="AA12:AA13"/>
    <mergeCell ref="AB12:AB13"/>
    <mergeCell ref="T19:T20"/>
    <mergeCell ref="U19:U20"/>
    <mergeCell ref="V19:V20"/>
    <mergeCell ref="W19:W20"/>
    <mergeCell ref="W17:W18"/>
    <mergeCell ref="X17:X18"/>
    <mergeCell ref="Y17:Y18"/>
    <mergeCell ref="Z17:Z18"/>
    <mergeCell ref="AA17:AA18"/>
    <mergeCell ref="T17:T18"/>
    <mergeCell ref="U17:U18"/>
    <mergeCell ref="V17:V18"/>
    <mergeCell ref="AD19:AD20"/>
    <mergeCell ref="AE19:AE20"/>
    <mergeCell ref="X19:X20"/>
    <mergeCell ref="Y19:Y20"/>
    <mergeCell ref="Z19:Z20"/>
    <mergeCell ref="AA19:AA20"/>
    <mergeCell ref="AB19:AB20"/>
    <mergeCell ref="AC19:AC20"/>
    <mergeCell ref="AC17:AC18"/>
    <mergeCell ref="AD17:AD18"/>
    <mergeCell ref="AE17:AE18"/>
    <mergeCell ref="AB17:AB18"/>
    <mergeCell ref="Z30:Z31"/>
    <mergeCell ref="AA30:AA31"/>
    <mergeCell ref="AB30:AB31"/>
    <mergeCell ref="AC30:AC31"/>
    <mergeCell ref="AD30:AD31"/>
    <mergeCell ref="AE30:AE31"/>
    <mergeCell ref="T30:T31"/>
    <mergeCell ref="U30:U31"/>
    <mergeCell ref="V30:V31"/>
    <mergeCell ref="W30:W31"/>
    <mergeCell ref="X30:X31"/>
    <mergeCell ref="Y30:Y31"/>
    <mergeCell ref="AD32:AD33"/>
    <mergeCell ref="AE32:AE33"/>
    <mergeCell ref="X32:X33"/>
    <mergeCell ref="Y32:Y33"/>
    <mergeCell ref="Z32:Z33"/>
    <mergeCell ref="AA32:AA33"/>
    <mergeCell ref="AB32:AB33"/>
    <mergeCell ref="AC32:AC33"/>
    <mergeCell ref="T32:T33"/>
    <mergeCell ref="U32:U33"/>
    <mergeCell ref="V32:V33"/>
    <mergeCell ref="W32:W33"/>
    <mergeCell ref="T62:T63"/>
    <mergeCell ref="U62:U63"/>
    <mergeCell ref="V62:V63"/>
    <mergeCell ref="W62:W63"/>
    <mergeCell ref="X62:X63"/>
    <mergeCell ref="X60:X61"/>
    <mergeCell ref="Y60:Y61"/>
    <mergeCell ref="Z60:Z61"/>
    <mergeCell ref="AA60:AA61"/>
    <mergeCell ref="T60:T61"/>
    <mergeCell ref="U60:U61"/>
    <mergeCell ref="V60:V61"/>
    <mergeCell ref="W60:W61"/>
    <mergeCell ref="AE62:AE63"/>
    <mergeCell ref="Y62:Y63"/>
    <mergeCell ref="Z62:Z63"/>
    <mergeCell ref="AA62:AA63"/>
    <mergeCell ref="AB62:AB63"/>
    <mergeCell ref="AC62:AC63"/>
    <mergeCell ref="AD62:AD63"/>
    <mergeCell ref="AD60:AD61"/>
    <mergeCell ref="AE60:AE61"/>
    <mergeCell ref="AB60:AB61"/>
    <mergeCell ref="AC60:AC61"/>
    <mergeCell ref="AK10:AK11"/>
    <mergeCell ref="AL10:AL11"/>
    <mergeCell ref="AM10:AM11"/>
    <mergeCell ref="AN10:AN11"/>
    <mergeCell ref="AO10:AO11"/>
    <mergeCell ref="AP10:AP11"/>
    <mergeCell ref="AF3:AP3"/>
    <mergeCell ref="AF10:AF11"/>
    <mergeCell ref="AG10:AG11"/>
    <mergeCell ref="AH10:AH11"/>
    <mergeCell ref="AI10:AI11"/>
    <mergeCell ref="AJ10:AJ11"/>
    <mergeCell ref="AL12:AL13"/>
    <mergeCell ref="AM12:AM13"/>
    <mergeCell ref="AN12:AN13"/>
    <mergeCell ref="AO12:AO13"/>
    <mergeCell ref="AP12:AP13"/>
    <mergeCell ref="AF12:AF13"/>
    <mergeCell ref="AG12:AG13"/>
    <mergeCell ref="AH12:AH13"/>
    <mergeCell ref="AI12:AI13"/>
    <mergeCell ref="AJ12:AJ13"/>
    <mergeCell ref="AK12:AK13"/>
    <mergeCell ref="AF19:AF20"/>
    <mergeCell ref="AG19:AG20"/>
    <mergeCell ref="AH19:AH20"/>
    <mergeCell ref="AI19:AI20"/>
    <mergeCell ref="AH17:AH18"/>
    <mergeCell ref="AI17:AI18"/>
    <mergeCell ref="AJ17:AJ18"/>
    <mergeCell ref="AK17:AK18"/>
    <mergeCell ref="AL17:AL18"/>
    <mergeCell ref="AF17:AF18"/>
    <mergeCell ref="AG17:AG18"/>
    <mergeCell ref="AP19:AP20"/>
    <mergeCell ref="AJ19:AJ20"/>
    <mergeCell ref="AK19:AK20"/>
    <mergeCell ref="AL19:AL20"/>
    <mergeCell ref="AM19:AM20"/>
    <mergeCell ref="AN19:AN20"/>
    <mergeCell ref="AO19:AO20"/>
    <mergeCell ref="AN17:AN18"/>
    <mergeCell ref="AO17:AO18"/>
    <mergeCell ref="AP17:AP18"/>
    <mergeCell ref="AM17:AM18"/>
    <mergeCell ref="AF32:AF33"/>
    <mergeCell ref="AG32:AG33"/>
    <mergeCell ref="AH32:AH33"/>
    <mergeCell ref="AG30:AG31"/>
    <mergeCell ref="AH30:AH31"/>
    <mergeCell ref="AI30:AI31"/>
    <mergeCell ref="AJ30:AJ31"/>
    <mergeCell ref="AK30:AK31"/>
    <mergeCell ref="AL30:AL31"/>
    <mergeCell ref="AF30:AF31"/>
    <mergeCell ref="AO32:AO33"/>
    <mergeCell ref="AP32:AP33"/>
    <mergeCell ref="AI32:AI33"/>
    <mergeCell ref="AJ32:AJ33"/>
    <mergeCell ref="AK32:AK33"/>
    <mergeCell ref="AL32:AL33"/>
    <mergeCell ref="AM32:AM33"/>
    <mergeCell ref="AN32:AN33"/>
    <mergeCell ref="AM30:AM31"/>
    <mergeCell ref="AN30:AN31"/>
    <mergeCell ref="AO30:AO31"/>
    <mergeCell ref="AP30:AP31"/>
    <mergeCell ref="AL62:AL63"/>
    <mergeCell ref="AM62:AM63"/>
    <mergeCell ref="AN62:AN63"/>
    <mergeCell ref="AO62:AO63"/>
    <mergeCell ref="AP62:AP63"/>
    <mergeCell ref="AP60:AP61"/>
    <mergeCell ref="AF62:AF63"/>
    <mergeCell ref="AG62:AG63"/>
    <mergeCell ref="AH62:AH63"/>
    <mergeCell ref="AI62:AI63"/>
    <mergeCell ref="AJ62:AJ63"/>
    <mergeCell ref="AK62:AK63"/>
    <mergeCell ref="AJ60:AJ61"/>
    <mergeCell ref="AK60:AK61"/>
    <mergeCell ref="AL60:AL61"/>
    <mergeCell ref="AM60:AM61"/>
    <mergeCell ref="AN60:AN61"/>
    <mergeCell ref="AO60:AO61"/>
    <mergeCell ref="AF60:AF61"/>
    <mergeCell ref="AG60:AG61"/>
    <mergeCell ref="AH60:AH61"/>
    <mergeCell ref="AI60:AI61"/>
    <mergeCell ref="AC5:AC7"/>
    <mergeCell ref="AD5:AD7"/>
    <mergeCell ref="AE5:AE7"/>
    <mergeCell ref="AP4:AP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J4:AJ7"/>
    <mergeCell ref="AK4:AK7"/>
    <mergeCell ref="AL4:AL7"/>
    <mergeCell ref="AM4:AM7"/>
    <mergeCell ref="AN4:AN7"/>
    <mergeCell ref="AO4:AO7"/>
    <mergeCell ref="AF4:AF7"/>
    <mergeCell ref="AG4:AG7"/>
    <mergeCell ref="AH4:AH7"/>
    <mergeCell ref="AI4:AI7"/>
  </mergeCells>
  <pageMargins left="0.39370078740157483" right="0.39370078740157483" top="0.78740157480314965" bottom="0.39370078740157483" header="0.31496062992125984" footer="0.31496062992125984"/>
  <pageSetup paperSize="9" scale="67" firstPageNumber="12" fitToWidth="3" fitToHeight="200" orientation="landscape" useFirstPageNumber="1" r:id="rId1"/>
  <rowBreaks count="1" manualBreakCount="1">
    <brk id="28" max="41" man="1"/>
  </rowBreaks>
  <colBreaks count="2" manualBreakCount="2">
    <brk id="19" max="1048575" man="1"/>
    <brk id="31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43"/>
  <sheetViews>
    <sheetView view="pageBreakPreview" zoomScale="80" zoomScaleNormal="100" zoomScaleSheetLayoutView="80" workbookViewId="0">
      <selection activeCell="H14" sqref="H14:H17"/>
    </sheetView>
  </sheetViews>
  <sheetFormatPr defaultColWidth="9.140625" defaultRowHeight="15" x14ac:dyDescent="0.25"/>
  <cols>
    <col min="1" max="1" width="20.28515625" style="53" customWidth="1"/>
    <col min="2" max="2" width="16" style="53" customWidth="1"/>
    <col min="3" max="3" width="18.7109375" style="53" customWidth="1"/>
    <col min="4" max="4" width="7.7109375" style="53" customWidth="1"/>
    <col min="5" max="5" width="17.42578125" style="53" customWidth="1"/>
    <col min="6" max="6" width="9.28515625" style="53" bestFit="1" customWidth="1"/>
    <col min="7" max="7" width="11.85546875" style="53" bestFit="1" customWidth="1"/>
    <col min="8" max="8" width="12.42578125" style="53" bestFit="1" customWidth="1"/>
    <col min="9" max="9" width="12.42578125" style="53" customWidth="1"/>
    <col min="10" max="10" width="10.28515625" style="53" bestFit="1" customWidth="1"/>
    <col min="11" max="11" width="9.5703125" style="53" bestFit="1" customWidth="1"/>
    <col min="12" max="13" width="10.140625" style="53" bestFit="1" customWidth="1"/>
    <col min="14" max="14" width="12.85546875" style="53" bestFit="1" customWidth="1"/>
    <col min="15" max="15" width="10.5703125" style="53" bestFit="1" customWidth="1"/>
    <col min="16" max="16" width="9.28515625" style="53" bestFit="1" customWidth="1"/>
    <col min="17" max="17" width="11.85546875" style="53" bestFit="1" customWidth="1"/>
    <col min="18" max="18" width="9.28515625" style="53" bestFit="1" customWidth="1"/>
    <col min="19" max="19" width="9.140625" style="53" customWidth="1"/>
    <col min="20" max="21" width="9.28515625" style="53" bestFit="1" customWidth="1"/>
    <col min="22" max="22" width="12.5703125" style="53" bestFit="1" customWidth="1"/>
    <col min="23" max="23" width="9.28515625" style="53" bestFit="1" customWidth="1"/>
    <col min="24" max="24" width="11.5703125" style="53" bestFit="1" customWidth="1"/>
    <col min="25" max="28" width="9.28515625" style="53" bestFit="1" customWidth="1"/>
    <col min="29" max="16384" width="9.140625" style="53"/>
  </cols>
  <sheetData>
    <row r="1" spans="1:22" s="80" customFormat="1" ht="18.600000000000001" customHeight="1" x14ac:dyDescent="0.25">
      <c r="A1" s="81" t="s">
        <v>295</v>
      </c>
      <c r="B1" s="81"/>
      <c r="C1" s="81"/>
      <c r="F1" s="81"/>
      <c r="G1" s="81"/>
      <c r="H1" s="81"/>
      <c r="I1" s="81"/>
      <c r="J1" s="81"/>
      <c r="K1" s="81"/>
      <c r="L1" s="81"/>
      <c r="M1" s="81"/>
      <c r="N1" s="81"/>
    </row>
    <row r="2" spans="1:22" s="74" customFormat="1" ht="18" customHeight="1" x14ac:dyDescent="0.25"/>
    <row r="3" spans="1:22" s="74" customFormat="1" ht="16.5" customHeight="1" x14ac:dyDescent="0.25">
      <c r="A3" s="75" t="s">
        <v>263</v>
      </c>
      <c r="F3" s="76"/>
      <c r="G3" s="76"/>
      <c r="H3" s="76"/>
    </row>
    <row r="4" spans="1:22" s="74" customFormat="1" ht="16.5" customHeight="1" x14ac:dyDescent="0.25"/>
    <row r="5" spans="1:22" s="74" customFormat="1" ht="16.5" customHeight="1" x14ac:dyDescent="0.25">
      <c r="A5" s="77"/>
      <c r="B5" s="77"/>
      <c r="C5" s="90" t="s">
        <v>925</v>
      </c>
    </row>
    <row r="6" spans="1:22" s="51" customFormat="1" ht="11.25" x14ac:dyDescent="0.25">
      <c r="A6" s="89" t="s">
        <v>303</v>
      </c>
      <c r="F6" s="89"/>
      <c r="G6" s="89"/>
      <c r="H6" s="89"/>
      <c r="I6" s="89"/>
    </row>
    <row r="7" spans="1:22" s="51" customFormat="1" ht="11.25" x14ac:dyDescent="0.25">
      <c r="A7" s="89" t="s">
        <v>304</v>
      </c>
      <c r="F7" s="89"/>
      <c r="G7" s="89"/>
      <c r="H7" s="89"/>
      <c r="I7" s="89"/>
    </row>
    <row r="8" spans="1:22" s="51" customFormat="1" ht="11.25" x14ac:dyDescent="0.25">
      <c r="A8" s="89" t="s">
        <v>305</v>
      </c>
      <c r="F8" s="89"/>
      <c r="G8" s="89"/>
      <c r="H8" s="89"/>
      <c r="I8" s="89"/>
    </row>
    <row r="9" spans="1:22" s="74" customFormat="1" ht="25.5" customHeight="1" x14ac:dyDescent="0.25">
      <c r="A9" s="79" t="s">
        <v>962</v>
      </c>
    </row>
    <row r="10" spans="1:22" s="74" customFormat="1" ht="12.6" customHeight="1" x14ac:dyDescent="0.25"/>
    <row r="11" spans="1:22" s="74" customFormat="1" ht="16.149999999999999" customHeight="1" x14ac:dyDescent="0.25">
      <c r="B11" s="75"/>
      <c r="C11" s="75"/>
      <c r="E11" s="75" t="s">
        <v>296</v>
      </c>
      <c r="F11" s="75"/>
      <c r="G11" s="75"/>
      <c r="H11" s="75"/>
      <c r="I11" s="75"/>
      <c r="J11" s="75"/>
      <c r="K11" s="75"/>
      <c r="L11" s="75"/>
      <c r="M11" s="75"/>
      <c r="N11" s="75"/>
    </row>
    <row r="12" spans="1:22" s="378" customFormat="1" ht="16.149999999999999" customHeight="1" x14ac:dyDescent="0.25">
      <c r="B12" s="75"/>
      <c r="C12" s="75"/>
      <c r="E12" s="401" t="s">
        <v>1486</v>
      </c>
      <c r="F12" s="401"/>
      <c r="G12" s="401"/>
      <c r="H12" s="401"/>
      <c r="I12" s="401"/>
      <c r="J12" s="401"/>
      <c r="K12" s="75"/>
      <c r="L12" s="75"/>
      <c r="M12" s="75"/>
      <c r="N12" s="75"/>
    </row>
    <row r="13" spans="1:22" s="69" customFormat="1" ht="13.15" customHeight="1" x14ac:dyDescent="0.25">
      <c r="D13" s="65"/>
    </row>
    <row r="14" spans="1:22" s="69" customFormat="1" ht="18" customHeight="1" x14ac:dyDescent="0.25">
      <c r="A14" s="400" t="s">
        <v>40</v>
      </c>
      <c r="B14" s="400"/>
      <c r="C14" s="400"/>
      <c r="D14" s="400" t="s">
        <v>9</v>
      </c>
      <c r="E14" s="400" t="s">
        <v>302</v>
      </c>
      <c r="F14" s="400" t="s">
        <v>383</v>
      </c>
      <c r="G14" s="400" t="s">
        <v>418</v>
      </c>
      <c r="H14" s="400" t="s">
        <v>387</v>
      </c>
      <c r="I14" s="400" t="s">
        <v>388</v>
      </c>
      <c r="J14" s="400" t="s">
        <v>301</v>
      </c>
      <c r="K14" s="400" t="s">
        <v>430</v>
      </c>
      <c r="L14" s="400" t="s">
        <v>431</v>
      </c>
      <c r="M14" s="400" t="s">
        <v>432</v>
      </c>
      <c r="N14" s="400" t="s">
        <v>433</v>
      </c>
      <c r="O14" s="400" t="s">
        <v>217</v>
      </c>
      <c r="P14" s="400"/>
      <c r="Q14" s="400"/>
      <c r="R14" s="400"/>
      <c r="S14" s="400"/>
      <c r="T14" s="400"/>
      <c r="U14" s="400"/>
      <c r="V14" s="400"/>
    </row>
    <row r="15" spans="1:22" s="69" customFormat="1" ht="16.899999999999999" customHeight="1" x14ac:dyDescent="0.25">
      <c r="A15" s="400"/>
      <c r="B15" s="400"/>
      <c r="C15" s="400"/>
      <c r="D15" s="400"/>
      <c r="E15" s="400"/>
      <c r="F15" s="400"/>
      <c r="G15" s="400"/>
      <c r="H15" s="400"/>
      <c r="I15" s="400"/>
      <c r="J15" s="400"/>
      <c r="K15" s="400"/>
      <c r="L15" s="400"/>
      <c r="M15" s="400"/>
      <c r="N15" s="400"/>
      <c r="O15" s="400" t="s">
        <v>15</v>
      </c>
      <c r="P15" s="400"/>
      <c r="Q15" s="400" t="s">
        <v>54</v>
      </c>
      <c r="R15" s="400"/>
      <c r="S15" s="400"/>
      <c r="T15" s="400"/>
      <c r="U15" s="400"/>
      <c r="V15" s="400"/>
    </row>
    <row r="16" spans="1:22" s="69" customFormat="1" ht="45" customHeight="1" x14ac:dyDescent="0.25">
      <c r="A16" s="400"/>
      <c r="B16" s="400"/>
      <c r="C16" s="400"/>
      <c r="D16" s="400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400"/>
      <c r="P16" s="400"/>
      <c r="Q16" s="400" t="s">
        <v>218</v>
      </c>
      <c r="R16" s="400"/>
      <c r="S16" s="400" t="s">
        <v>219</v>
      </c>
      <c r="T16" s="400"/>
      <c r="U16" s="400" t="s">
        <v>220</v>
      </c>
      <c r="V16" s="400"/>
    </row>
    <row r="17" spans="1:22" s="69" customFormat="1" ht="68.25" customHeight="1" x14ac:dyDescent="0.25">
      <c r="A17" s="400"/>
      <c r="B17" s="400"/>
      <c r="C17" s="400"/>
      <c r="D17" s="400"/>
      <c r="E17" s="400"/>
      <c r="F17" s="400"/>
      <c r="G17" s="400"/>
      <c r="H17" s="400"/>
      <c r="I17" s="400"/>
      <c r="J17" s="400"/>
      <c r="K17" s="400"/>
      <c r="L17" s="400"/>
      <c r="M17" s="400"/>
      <c r="N17" s="400"/>
      <c r="O17" s="61" t="s">
        <v>221</v>
      </c>
      <c r="P17" s="61" t="s">
        <v>222</v>
      </c>
      <c r="Q17" s="61" t="s">
        <v>221</v>
      </c>
      <c r="R17" s="61" t="s">
        <v>222</v>
      </c>
      <c r="S17" s="61" t="s">
        <v>221</v>
      </c>
      <c r="T17" s="61" t="s">
        <v>222</v>
      </c>
      <c r="U17" s="61" t="s">
        <v>221</v>
      </c>
      <c r="V17" s="61" t="s">
        <v>222</v>
      </c>
    </row>
    <row r="18" spans="1:22" s="69" customFormat="1" x14ac:dyDescent="0.25">
      <c r="A18" s="400">
        <v>1</v>
      </c>
      <c r="B18" s="400"/>
      <c r="C18" s="400"/>
      <c r="D18" s="61">
        <v>2</v>
      </c>
      <c r="E18" s="61">
        <v>3</v>
      </c>
      <c r="F18" s="61">
        <v>4</v>
      </c>
      <c r="G18" s="61">
        <v>5</v>
      </c>
      <c r="H18" s="61">
        <v>6</v>
      </c>
      <c r="I18" s="61">
        <v>7</v>
      </c>
      <c r="J18" s="61">
        <v>8</v>
      </c>
      <c r="K18" s="61">
        <v>9</v>
      </c>
      <c r="L18" s="61">
        <v>10</v>
      </c>
      <c r="M18" s="61">
        <v>11</v>
      </c>
      <c r="N18" s="61">
        <v>12</v>
      </c>
      <c r="O18" s="61">
        <v>13</v>
      </c>
      <c r="P18" s="61">
        <v>14</v>
      </c>
      <c r="Q18" s="61">
        <v>15</v>
      </c>
      <c r="R18" s="61">
        <v>16</v>
      </c>
      <c r="S18" s="61">
        <v>17</v>
      </c>
      <c r="T18" s="61">
        <v>18</v>
      </c>
      <c r="U18" s="61">
        <v>19</v>
      </c>
      <c r="V18" s="61">
        <v>20</v>
      </c>
    </row>
    <row r="19" spans="1:22" s="69" customFormat="1" ht="29.45" customHeight="1" x14ac:dyDescent="0.25">
      <c r="A19" s="396" t="s">
        <v>223</v>
      </c>
      <c r="B19" s="396"/>
      <c r="C19" s="396"/>
      <c r="D19" s="61">
        <v>1000</v>
      </c>
      <c r="E19" s="61"/>
      <c r="F19" s="61"/>
      <c r="G19" s="61"/>
      <c r="H19" s="67">
        <f>H20</f>
        <v>0</v>
      </c>
      <c r="I19" s="67">
        <f>I20</f>
        <v>0</v>
      </c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</row>
    <row r="20" spans="1:22" s="69" customFormat="1" ht="105.75" customHeight="1" x14ac:dyDescent="0.25">
      <c r="A20" s="521" t="s">
        <v>224</v>
      </c>
      <c r="B20" s="521"/>
      <c r="C20" s="521"/>
      <c r="D20" s="155">
        <v>1100</v>
      </c>
      <c r="E20" s="155"/>
      <c r="F20" s="155"/>
      <c r="G20" s="171"/>
      <c r="H20" s="169"/>
      <c r="I20" s="169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</row>
    <row r="21" spans="1:22" s="69" customFormat="1" ht="21.75" customHeight="1" x14ac:dyDescent="0.25">
      <c r="A21" s="521" t="s">
        <v>225</v>
      </c>
      <c r="B21" s="521"/>
      <c r="C21" s="521"/>
      <c r="D21" s="61">
        <v>1200</v>
      </c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</row>
    <row r="22" spans="1:22" s="69" customFormat="1" ht="20.25" customHeight="1" x14ac:dyDescent="0.25">
      <c r="A22" s="521" t="s">
        <v>226</v>
      </c>
      <c r="B22" s="521"/>
      <c r="C22" s="521"/>
      <c r="D22" s="61">
        <v>1300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</row>
    <row r="23" spans="1:22" s="69" customFormat="1" ht="65.25" customHeight="1" x14ac:dyDescent="0.25">
      <c r="A23" s="521" t="s">
        <v>227</v>
      </c>
      <c r="B23" s="521"/>
      <c r="C23" s="521"/>
      <c r="D23" s="61">
        <v>1400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</row>
    <row r="24" spans="1:22" s="69" customFormat="1" ht="18.600000000000001" customHeight="1" x14ac:dyDescent="0.25">
      <c r="A24" s="521" t="s">
        <v>228</v>
      </c>
      <c r="B24" s="521"/>
      <c r="C24" s="521"/>
      <c r="D24" s="61">
        <v>1500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</row>
    <row r="25" spans="1:22" s="69" customFormat="1" ht="19.5" customHeight="1" x14ac:dyDescent="0.25">
      <c r="A25" s="521" t="s">
        <v>229</v>
      </c>
      <c r="B25" s="521"/>
      <c r="C25" s="521"/>
      <c r="D25" s="61">
        <v>1600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</row>
    <row r="26" spans="1:22" s="69" customFormat="1" x14ac:dyDescent="0.25">
      <c r="A26" s="521" t="s">
        <v>230</v>
      </c>
      <c r="B26" s="521"/>
      <c r="C26" s="521"/>
      <c r="D26" s="61">
        <v>1700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</row>
    <row r="27" spans="1:22" s="69" customFormat="1" ht="33.75" customHeight="1" x14ac:dyDescent="0.25">
      <c r="A27" s="521" t="s">
        <v>231</v>
      </c>
      <c r="B27" s="521"/>
      <c r="C27" s="521"/>
      <c r="D27" s="61">
        <v>1800</v>
      </c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</row>
    <row r="28" spans="1:22" s="69" customFormat="1" x14ac:dyDescent="0.25">
      <c r="A28" s="521" t="s">
        <v>232</v>
      </c>
      <c r="B28" s="521"/>
      <c r="C28" s="521"/>
      <c r="D28" s="61">
        <v>1900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</row>
    <row r="29" spans="1:22" s="69" customFormat="1" x14ac:dyDescent="0.25">
      <c r="A29" s="396" t="s">
        <v>233</v>
      </c>
      <c r="B29" s="396"/>
      <c r="C29" s="396"/>
      <c r="D29" s="61">
        <v>2000</v>
      </c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</row>
    <row r="30" spans="1:22" s="69" customFormat="1" x14ac:dyDescent="0.25">
      <c r="A30" s="521" t="s">
        <v>234</v>
      </c>
      <c r="B30" s="521"/>
      <c r="C30" s="521"/>
      <c r="D30" s="61">
        <v>2100</v>
      </c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</row>
    <row r="31" spans="1:22" s="69" customFormat="1" x14ac:dyDescent="0.25">
      <c r="A31" s="521" t="s">
        <v>235</v>
      </c>
      <c r="B31" s="521"/>
      <c r="C31" s="521"/>
      <c r="D31" s="61">
        <v>2200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</row>
    <row r="32" spans="1:22" s="69" customFormat="1" ht="18" customHeight="1" x14ac:dyDescent="0.25">
      <c r="A32" s="396" t="s">
        <v>236</v>
      </c>
      <c r="B32" s="396"/>
      <c r="C32" s="396"/>
      <c r="D32" s="61">
        <v>3000</v>
      </c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</row>
    <row r="33" spans="1:22" s="69" customFormat="1" ht="19.5" customHeight="1" x14ac:dyDescent="0.25">
      <c r="A33" s="521" t="s">
        <v>237</v>
      </c>
      <c r="B33" s="521"/>
      <c r="C33" s="521"/>
      <c r="D33" s="61">
        <v>3100</v>
      </c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</row>
    <row r="34" spans="1:22" s="69" customFormat="1" ht="17.25" customHeight="1" x14ac:dyDescent="0.25">
      <c r="A34" s="521" t="s">
        <v>238</v>
      </c>
      <c r="B34" s="521"/>
      <c r="C34" s="521"/>
      <c r="D34" s="61">
        <v>3200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</row>
    <row r="35" spans="1:22" s="69" customFormat="1" x14ac:dyDescent="0.25">
      <c r="A35" s="521" t="s">
        <v>239</v>
      </c>
      <c r="B35" s="521"/>
      <c r="C35" s="521"/>
      <c r="D35" s="61">
        <v>3300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</row>
    <row r="36" spans="1:22" s="69" customFormat="1" x14ac:dyDescent="0.25">
      <c r="A36" s="521" t="s">
        <v>240</v>
      </c>
      <c r="B36" s="521"/>
      <c r="C36" s="521"/>
      <c r="D36" s="61">
        <v>3400</v>
      </c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</row>
    <row r="37" spans="1:22" s="69" customFormat="1" x14ac:dyDescent="0.25">
      <c r="A37" s="521" t="s">
        <v>241</v>
      </c>
      <c r="B37" s="521"/>
      <c r="C37" s="521"/>
      <c r="D37" s="61">
        <v>3500</v>
      </c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</row>
    <row r="38" spans="1:22" s="69" customFormat="1" x14ac:dyDescent="0.25">
      <c r="A38" s="521" t="s">
        <v>242</v>
      </c>
      <c r="B38" s="521"/>
      <c r="C38" s="521"/>
      <c r="D38" s="61">
        <v>3600</v>
      </c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</row>
    <row r="39" spans="1:22" s="69" customFormat="1" x14ac:dyDescent="0.25">
      <c r="A39" s="521" t="s">
        <v>243</v>
      </c>
      <c r="B39" s="521"/>
      <c r="C39" s="521"/>
      <c r="D39" s="61">
        <v>3700</v>
      </c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</row>
    <row r="40" spans="1:22" s="69" customFormat="1" ht="23.25" customHeight="1" x14ac:dyDescent="0.25">
      <c r="A40" s="521" t="s">
        <v>244</v>
      </c>
      <c r="B40" s="521"/>
      <c r="C40" s="521"/>
      <c r="D40" s="61">
        <v>3800</v>
      </c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</row>
    <row r="41" spans="1:22" s="69" customFormat="1" ht="48" customHeight="1" x14ac:dyDescent="0.25">
      <c r="A41" s="521" t="s">
        <v>245</v>
      </c>
      <c r="B41" s="521"/>
      <c r="C41" s="521"/>
      <c r="D41" s="61">
        <v>3900</v>
      </c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</row>
    <row r="42" spans="1:22" s="69" customFormat="1" ht="18.600000000000001" customHeight="1" x14ac:dyDescent="0.25">
      <c r="A42" s="396" t="s">
        <v>20</v>
      </c>
      <c r="B42" s="396"/>
      <c r="C42" s="396"/>
      <c r="D42" s="61">
        <v>9000</v>
      </c>
      <c r="E42" s="61"/>
      <c r="F42" s="61"/>
      <c r="G42" s="61"/>
      <c r="H42" s="67">
        <f>H19</f>
        <v>0</v>
      </c>
      <c r="I42" s="67">
        <f>I19</f>
        <v>0</v>
      </c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</row>
    <row r="43" spans="1:22" s="69" customFormat="1" ht="21" customHeight="1" x14ac:dyDescent="0.25">
      <c r="D43" s="65"/>
    </row>
  </sheetData>
  <mergeCells count="44">
    <mergeCell ref="E12:J12"/>
    <mergeCell ref="F14:F17"/>
    <mergeCell ref="G14:G17"/>
    <mergeCell ref="H14:H17"/>
    <mergeCell ref="A23:C23"/>
    <mergeCell ref="I14:I17"/>
    <mergeCell ref="J14:J17"/>
    <mergeCell ref="A18:C18"/>
    <mergeCell ref="A19:C19"/>
    <mergeCell ref="A20:C20"/>
    <mergeCell ref="A21:C21"/>
    <mergeCell ref="A22:C22"/>
    <mergeCell ref="O14:V14"/>
    <mergeCell ref="O15:P16"/>
    <mergeCell ref="Q15:V15"/>
    <mergeCell ref="Q16:R16"/>
    <mergeCell ref="S16:T16"/>
    <mergeCell ref="U16:V16"/>
    <mergeCell ref="K14:K17"/>
    <mergeCell ref="L14:L17"/>
    <mergeCell ref="M14:M17"/>
    <mergeCell ref="N14:N17"/>
    <mergeCell ref="A14:C17"/>
    <mergeCell ref="D14:D17"/>
    <mergeCell ref="E14:E17"/>
    <mergeCell ref="A35:C35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42:C42"/>
    <mergeCell ref="A36:C36"/>
    <mergeCell ref="A37:C37"/>
    <mergeCell ref="A38:C38"/>
    <mergeCell ref="A39:C39"/>
    <mergeCell ref="A40:C40"/>
    <mergeCell ref="A41:C41"/>
  </mergeCells>
  <pageMargins left="0.39370078740157483" right="0.39370078740157483" top="0.78740157480314965" bottom="0.39370078740157483" header="0.31496062992125984" footer="0.31496062992125984"/>
  <pageSetup paperSize="9" scale="99" firstPageNumber="12" fitToWidth="2" fitToHeight="2" orientation="landscape" useFirstPageNumber="1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"/>
  <sheetViews>
    <sheetView view="pageBreakPreview" zoomScale="80" zoomScaleNormal="100" zoomScaleSheetLayoutView="80" workbookViewId="0">
      <selection activeCell="E10" sqref="E10"/>
    </sheetView>
  </sheetViews>
  <sheetFormatPr defaultColWidth="9.140625" defaultRowHeight="15" outlineLevelRow="1" x14ac:dyDescent="0.25"/>
  <cols>
    <col min="1" max="1" width="9.28515625" style="173" bestFit="1" customWidth="1"/>
    <col min="2" max="2" width="6" style="173" customWidth="1"/>
    <col min="3" max="3" width="11.7109375" style="173" customWidth="1"/>
    <col min="4" max="4" width="7.7109375" style="173" customWidth="1"/>
    <col min="5" max="5" width="17.42578125" style="173" customWidth="1"/>
    <col min="6" max="6" width="9.28515625" style="173" bestFit="1" customWidth="1"/>
    <col min="7" max="7" width="11.85546875" style="173" bestFit="1" customWidth="1"/>
    <col min="8" max="8" width="10.140625" style="173" bestFit="1" customWidth="1"/>
    <col min="9" max="9" width="12" style="173" customWidth="1"/>
    <col min="10" max="10" width="10.28515625" style="173" bestFit="1" customWidth="1"/>
    <col min="11" max="11" width="9.5703125" style="173" bestFit="1" customWidth="1"/>
    <col min="12" max="13" width="10.140625" style="173" bestFit="1" customWidth="1"/>
    <col min="14" max="14" width="12.85546875" style="173" bestFit="1" customWidth="1"/>
    <col min="15" max="15" width="10.5703125" style="173" bestFit="1" customWidth="1"/>
    <col min="16" max="16" width="9.28515625" style="173" bestFit="1" customWidth="1"/>
    <col min="17" max="17" width="11.85546875" style="173" bestFit="1" customWidth="1"/>
    <col min="18" max="18" width="9.28515625" style="173" bestFit="1" customWidth="1"/>
    <col min="19" max="19" width="9.140625" style="173" customWidth="1"/>
    <col min="20" max="21" width="9.28515625" style="173" bestFit="1" customWidth="1"/>
    <col min="22" max="22" width="12.5703125" style="173" bestFit="1" customWidth="1"/>
    <col min="23" max="23" width="9.28515625" style="173" bestFit="1" customWidth="1"/>
    <col min="24" max="24" width="11.5703125" style="173" bestFit="1" customWidth="1"/>
    <col min="25" max="28" width="9.28515625" style="173" bestFit="1" customWidth="1"/>
    <col min="29" max="16384" width="9.140625" style="173"/>
  </cols>
  <sheetData>
    <row r="1" spans="1:19" s="156" customFormat="1" ht="18.75" x14ac:dyDescent="0.25">
      <c r="A1" s="402" t="s">
        <v>291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</row>
    <row r="2" spans="1:19" x14ac:dyDescent="0.25">
      <c r="D2" s="163"/>
    </row>
    <row r="3" spans="1:19" ht="76.5" customHeight="1" x14ac:dyDescent="0.25">
      <c r="A3" s="400" t="s">
        <v>277</v>
      </c>
      <c r="B3" s="400"/>
      <c r="C3" s="400"/>
      <c r="D3" s="400"/>
      <c r="E3" s="400" t="s">
        <v>278</v>
      </c>
      <c r="F3" s="400"/>
      <c r="G3" s="400"/>
      <c r="H3" s="400" t="s">
        <v>279</v>
      </c>
      <c r="I3" s="400"/>
      <c r="J3" s="400" t="s">
        <v>280</v>
      </c>
      <c r="K3" s="400"/>
      <c r="L3" s="400"/>
      <c r="M3" s="400"/>
      <c r="N3" s="400"/>
      <c r="O3" s="400"/>
      <c r="P3" s="400"/>
      <c r="Q3" s="400"/>
      <c r="R3" s="400" t="s">
        <v>276</v>
      </c>
    </row>
    <row r="4" spans="1:19" ht="100.5" customHeight="1" x14ac:dyDescent="0.25">
      <c r="A4" s="400"/>
      <c r="B4" s="400"/>
      <c r="C4" s="400"/>
      <c r="D4" s="400"/>
      <c r="E4" s="400" t="s">
        <v>343</v>
      </c>
      <c r="F4" s="400" t="s">
        <v>343</v>
      </c>
      <c r="G4" s="400" t="s">
        <v>343</v>
      </c>
      <c r="H4" s="400" t="s">
        <v>343</v>
      </c>
      <c r="I4" s="400" t="s">
        <v>343</v>
      </c>
      <c r="J4" s="400" t="s">
        <v>343</v>
      </c>
      <c r="K4" s="414" t="s">
        <v>274</v>
      </c>
      <c r="L4" s="414"/>
      <c r="M4" s="400" t="s">
        <v>338</v>
      </c>
      <c r="N4" s="400" t="s">
        <v>339</v>
      </c>
      <c r="O4" s="400" t="s">
        <v>340</v>
      </c>
      <c r="P4" s="400" t="s">
        <v>341</v>
      </c>
      <c r="Q4" s="400" t="s">
        <v>342</v>
      </c>
      <c r="R4" s="400"/>
    </row>
    <row r="5" spans="1:19" ht="30" customHeight="1" x14ac:dyDescent="0.25">
      <c r="A5" s="400"/>
      <c r="B5" s="400"/>
      <c r="C5" s="400"/>
      <c r="D5" s="400"/>
      <c r="E5" s="400"/>
      <c r="F5" s="400"/>
      <c r="G5" s="400"/>
      <c r="H5" s="400"/>
      <c r="I5" s="400"/>
      <c r="J5" s="400"/>
      <c r="K5" s="155" t="s">
        <v>337</v>
      </c>
      <c r="L5" s="155" t="s">
        <v>275</v>
      </c>
      <c r="M5" s="400"/>
      <c r="N5" s="400"/>
      <c r="O5" s="400"/>
      <c r="P5" s="400"/>
      <c r="Q5" s="400"/>
      <c r="R5" s="400"/>
    </row>
    <row r="6" spans="1:19" ht="14.45" customHeight="1" x14ac:dyDescent="0.25">
      <c r="A6" s="400">
        <v>1</v>
      </c>
      <c r="B6" s="400"/>
      <c r="C6" s="400"/>
      <c r="D6" s="400"/>
      <c r="E6" s="155">
        <v>2</v>
      </c>
      <c r="F6" s="155">
        <v>3</v>
      </c>
      <c r="G6" s="155">
        <v>4</v>
      </c>
      <c r="H6" s="155">
        <v>5</v>
      </c>
      <c r="I6" s="155">
        <v>6</v>
      </c>
      <c r="J6" s="155">
        <v>7</v>
      </c>
      <c r="K6" s="155">
        <v>8</v>
      </c>
      <c r="L6" s="155">
        <v>9</v>
      </c>
      <c r="M6" s="155">
        <v>10</v>
      </c>
      <c r="N6" s="155">
        <v>11</v>
      </c>
      <c r="O6" s="155">
        <v>12</v>
      </c>
      <c r="P6" s="155">
        <v>13</v>
      </c>
      <c r="Q6" s="155">
        <v>14</v>
      </c>
      <c r="R6" s="155">
        <v>15</v>
      </c>
    </row>
    <row r="7" spans="1:19" s="163" customFormat="1" ht="180" x14ac:dyDescent="0.25">
      <c r="A7" s="396" t="s">
        <v>460</v>
      </c>
      <c r="B7" s="396"/>
      <c r="C7" s="396"/>
      <c r="D7" s="396"/>
      <c r="E7" s="158" t="s">
        <v>460</v>
      </c>
      <c r="F7" s="155" t="s">
        <v>299</v>
      </c>
      <c r="G7" s="155" t="s">
        <v>299</v>
      </c>
      <c r="H7" s="155" t="s">
        <v>299</v>
      </c>
      <c r="I7" s="155" t="s">
        <v>299</v>
      </c>
      <c r="J7" s="174" t="s">
        <v>461</v>
      </c>
      <c r="K7" s="155" t="s">
        <v>458</v>
      </c>
      <c r="L7" s="155">
        <v>642</v>
      </c>
      <c r="M7" s="48">
        <v>34</v>
      </c>
      <c r="N7" s="48">
        <v>49</v>
      </c>
      <c r="O7" s="48" t="s">
        <v>299</v>
      </c>
      <c r="P7" s="48" t="s">
        <v>299</v>
      </c>
      <c r="Q7" s="174" t="s">
        <v>1493</v>
      </c>
      <c r="R7" s="155">
        <v>0</v>
      </c>
      <c r="S7" s="50">
        <f>N7/M7</f>
        <v>1.4411764705882353</v>
      </c>
    </row>
    <row r="8" spans="1:19" s="163" customFormat="1" ht="202.5" x14ac:dyDescent="0.25">
      <c r="A8" s="396" t="s">
        <v>463</v>
      </c>
      <c r="B8" s="396"/>
      <c r="C8" s="396"/>
      <c r="D8" s="396"/>
      <c r="E8" s="158" t="s">
        <v>464</v>
      </c>
      <c r="F8" s="155" t="s">
        <v>299</v>
      </c>
      <c r="G8" s="155" t="s">
        <v>299</v>
      </c>
      <c r="H8" s="155" t="s">
        <v>299</v>
      </c>
      <c r="I8" s="155" t="s">
        <v>299</v>
      </c>
      <c r="J8" s="174" t="s">
        <v>465</v>
      </c>
      <c r="K8" s="155" t="s">
        <v>458</v>
      </c>
      <c r="L8" s="155">
        <v>642</v>
      </c>
      <c r="M8" s="48">
        <v>3</v>
      </c>
      <c r="N8" s="48">
        <v>3</v>
      </c>
      <c r="O8" s="48" t="s">
        <v>299</v>
      </c>
      <c r="P8" s="48" t="s">
        <v>299</v>
      </c>
      <c r="Q8" s="49"/>
      <c r="R8" s="155">
        <v>0</v>
      </c>
      <c r="S8" s="50">
        <f>N8/M8</f>
        <v>1</v>
      </c>
    </row>
    <row r="9" spans="1:19" s="163" customFormat="1" ht="33.75" x14ac:dyDescent="0.25">
      <c r="A9" s="396" t="s">
        <v>468</v>
      </c>
      <c r="B9" s="396"/>
      <c r="C9" s="396"/>
      <c r="D9" s="396"/>
      <c r="E9" s="158" t="s">
        <v>468</v>
      </c>
      <c r="F9" s="155" t="s">
        <v>299</v>
      </c>
      <c r="G9" s="155" t="s">
        <v>299</v>
      </c>
      <c r="H9" s="155" t="s">
        <v>299</v>
      </c>
      <c r="I9" s="155" t="s">
        <v>299</v>
      </c>
      <c r="J9" s="174" t="s">
        <v>469</v>
      </c>
      <c r="K9" s="155" t="s">
        <v>458</v>
      </c>
      <c r="L9" s="155">
        <v>642</v>
      </c>
      <c r="M9" s="48">
        <v>10</v>
      </c>
      <c r="N9" s="48">
        <v>10</v>
      </c>
      <c r="O9" s="48" t="s">
        <v>299</v>
      </c>
      <c r="P9" s="48" t="s">
        <v>299</v>
      </c>
      <c r="Q9" s="49"/>
      <c r="R9" s="155">
        <v>0</v>
      </c>
      <c r="S9" s="50">
        <f>N9/M9</f>
        <v>1</v>
      </c>
    </row>
    <row r="10" spans="1:19" s="163" customFormat="1" ht="303.75" x14ac:dyDescent="0.25">
      <c r="A10" s="396" t="s">
        <v>463</v>
      </c>
      <c r="B10" s="396"/>
      <c r="C10" s="396"/>
      <c r="D10" s="396"/>
      <c r="E10" s="158" t="s">
        <v>470</v>
      </c>
      <c r="F10" s="155" t="s">
        <v>299</v>
      </c>
      <c r="G10" s="155" t="s">
        <v>299</v>
      </c>
      <c r="H10" s="155" t="s">
        <v>299</v>
      </c>
      <c r="I10" s="155" t="s">
        <v>299</v>
      </c>
      <c r="J10" s="174" t="s">
        <v>465</v>
      </c>
      <c r="K10" s="155" t="s">
        <v>458</v>
      </c>
      <c r="L10" s="155">
        <v>642</v>
      </c>
      <c r="M10" s="48">
        <v>3</v>
      </c>
      <c r="N10" s="48">
        <v>3</v>
      </c>
      <c r="O10" s="48"/>
      <c r="P10" s="48"/>
      <c r="Q10" s="49"/>
      <c r="R10" s="155">
        <v>0</v>
      </c>
      <c r="S10" s="50">
        <f>N10/M10</f>
        <v>1</v>
      </c>
    </row>
    <row r="11" spans="1:19" ht="14.45" customHeight="1" outlineLevel="1" x14ac:dyDescent="0.25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</sheetData>
  <mergeCells count="23">
    <mergeCell ref="A1:R1"/>
    <mergeCell ref="A3:D5"/>
    <mergeCell ref="E3:G3"/>
    <mergeCell ref="H3:I3"/>
    <mergeCell ref="J3:Q3"/>
    <mergeCell ref="R3:R5"/>
    <mergeCell ref="E4:E5"/>
    <mergeCell ref="F4:F5"/>
    <mergeCell ref="G4:G5"/>
    <mergeCell ref="A9:D9"/>
    <mergeCell ref="A10:D10"/>
    <mergeCell ref="O4:O5"/>
    <mergeCell ref="P4:P5"/>
    <mergeCell ref="Q4:Q5"/>
    <mergeCell ref="A6:D6"/>
    <mergeCell ref="A7:D7"/>
    <mergeCell ref="A8:D8"/>
    <mergeCell ref="H4:H5"/>
    <mergeCell ref="I4:I5"/>
    <mergeCell ref="J4:J5"/>
    <mergeCell ref="K4:L4"/>
    <mergeCell ref="M4:M5"/>
    <mergeCell ref="N4:N5"/>
  </mergeCells>
  <pageMargins left="0.39370078740157483" right="0.39370078740157483" top="0.78740157480314965" bottom="0.39370078740157483" header="0.31496062992125984" footer="0.31496062992125984"/>
  <pageSetup paperSize="9" scale="73" firstPageNumber="12" fitToWidth="2" fitToHeight="200" orientation="landscape" useFirstPageNumber="1" r:id="rId1"/>
  <rowBreaks count="1" manualBreakCount="1">
    <brk id="9" max="1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31"/>
  <sheetViews>
    <sheetView view="pageBreakPreview" zoomScale="80" zoomScaleNormal="100" zoomScaleSheetLayoutView="80" workbookViewId="0">
      <selection activeCell="J41" sqref="J41"/>
    </sheetView>
  </sheetViews>
  <sheetFormatPr defaultColWidth="9.140625" defaultRowHeight="15" x14ac:dyDescent="0.25"/>
  <cols>
    <col min="1" max="1" width="9.28515625" style="53" bestFit="1" customWidth="1"/>
    <col min="2" max="2" width="13.28515625" style="53" customWidth="1"/>
    <col min="3" max="3" width="11.7109375" style="53" customWidth="1"/>
    <col min="4" max="4" width="7.7109375" style="53" customWidth="1"/>
    <col min="5" max="5" width="17.42578125" style="53" customWidth="1"/>
    <col min="6" max="6" width="9.28515625" style="53" bestFit="1" customWidth="1"/>
    <col min="7" max="7" width="11.85546875" style="53" bestFit="1" customWidth="1"/>
    <col min="8" max="8" width="10.140625" style="53" bestFit="1" customWidth="1"/>
    <col min="9" max="9" width="12" style="53" customWidth="1"/>
    <col min="10" max="10" width="10.28515625" style="53" bestFit="1" customWidth="1"/>
    <col min="11" max="11" width="9.5703125" style="53" bestFit="1" customWidth="1"/>
    <col min="12" max="13" width="10.140625" style="53" bestFit="1" customWidth="1"/>
    <col min="14" max="14" width="12.85546875" style="53" bestFit="1" customWidth="1"/>
    <col min="15" max="15" width="10.5703125" style="53" bestFit="1" customWidth="1"/>
    <col min="16" max="16" width="9.28515625" style="53" bestFit="1" customWidth="1"/>
    <col min="17" max="17" width="11.85546875" style="53" bestFit="1" customWidth="1"/>
    <col min="18" max="18" width="9.28515625" style="53" bestFit="1" customWidth="1"/>
    <col min="19" max="19" width="9.140625" style="53" customWidth="1"/>
    <col min="20" max="21" width="9.28515625" style="53" bestFit="1" customWidth="1"/>
    <col min="22" max="22" width="12.5703125" style="53" bestFit="1" customWidth="1"/>
    <col min="23" max="23" width="9.28515625" style="53" bestFit="1" customWidth="1"/>
    <col min="24" max="24" width="11.5703125" style="53" bestFit="1" customWidth="1"/>
    <col min="25" max="28" width="9.28515625" style="53" bestFit="1" customWidth="1"/>
    <col min="29" max="16384" width="9.140625" style="53"/>
  </cols>
  <sheetData>
    <row r="1" spans="1:24" s="74" customFormat="1" ht="17.45" customHeight="1" x14ac:dyDescent="0.25">
      <c r="A1" s="75" t="s">
        <v>941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V1" s="91"/>
      <c r="X1" s="91"/>
    </row>
    <row r="2" spans="1:24" s="69" customFormat="1" ht="19.149999999999999" customHeight="1" x14ac:dyDescent="0.25">
      <c r="A2" s="496" t="s">
        <v>942</v>
      </c>
      <c r="B2" s="496"/>
      <c r="C2" s="496"/>
      <c r="D2" s="496"/>
      <c r="E2" s="496"/>
      <c r="F2" s="496"/>
      <c r="G2" s="496"/>
      <c r="H2" s="496"/>
      <c r="I2" s="496"/>
    </row>
    <row r="3" spans="1:24" s="69" customFormat="1" ht="40.5" customHeight="1" x14ac:dyDescent="0.25">
      <c r="A3" s="400" t="s">
        <v>40</v>
      </c>
      <c r="B3" s="400"/>
      <c r="C3" s="400"/>
      <c r="D3" s="400" t="s">
        <v>9</v>
      </c>
      <c r="E3" s="400" t="s">
        <v>144</v>
      </c>
      <c r="F3" s="400"/>
      <c r="G3" s="400"/>
      <c r="H3" s="400"/>
      <c r="I3" s="400" t="s">
        <v>150</v>
      </c>
      <c r="J3" s="400"/>
      <c r="K3" s="400"/>
      <c r="L3" s="400"/>
      <c r="M3" s="400"/>
    </row>
    <row r="4" spans="1:24" s="69" customFormat="1" ht="16.149999999999999" customHeight="1" x14ac:dyDescent="0.25">
      <c r="A4" s="400"/>
      <c r="B4" s="400"/>
      <c r="C4" s="400"/>
      <c r="D4" s="400"/>
      <c r="E4" s="400" t="s">
        <v>15</v>
      </c>
      <c r="F4" s="400" t="s">
        <v>54</v>
      </c>
      <c r="G4" s="400"/>
      <c r="H4" s="400"/>
      <c r="I4" s="400" t="s">
        <v>15</v>
      </c>
      <c r="J4" s="400" t="s">
        <v>54</v>
      </c>
      <c r="K4" s="400"/>
      <c r="L4" s="400"/>
      <c r="M4" s="400"/>
    </row>
    <row r="5" spans="1:24" s="69" customFormat="1" ht="115.5" customHeight="1" x14ac:dyDescent="0.25">
      <c r="A5" s="400"/>
      <c r="B5" s="400"/>
      <c r="C5" s="400"/>
      <c r="D5" s="400"/>
      <c r="E5" s="400"/>
      <c r="F5" s="61" t="s">
        <v>392</v>
      </c>
      <c r="G5" s="61" t="s">
        <v>393</v>
      </c>
      <c r="H5" s="61" t="s">
        <v>399</v>
      </c>
      <c r="I5" s="400"/>
      <c r="J5" s="61" t="s">
        <v>434</v>
      </c>
      <c r="K5" s="61" t="s">
        <v>435</v>
      </c>
      <c r="L5" s="61" t="s">
        <v>436</v>
      </c>
      <c r="M5" s="61" t="s">
        <v>437</v>
      </c>
    </row>
    <row r="6" spans="1:24" s="69" customFormat="1" x14ac:dyDescent="0.25">
      <c r="A6" s="400">
        <v>1</v>
      </c>
      <c r="B6" s="400"/>
      <c r="C6" s="400"/>
      <c r="D6" s="61">
        <v>2</v>
      </c>
      <c r="E6" s="61">
        <v>3</v>
      </c>
      <c r="F6" s="61">
        <v>4</v>
      </c>
      <c r="G6" s="61">
        <v>5</v>
      </c>
      <c r="H6" s="61">
        <v>6</v>
      </c>
      <c r="I6" s="61">
        <v>7</v>
      </c>
      <c r="J6" s="61">
        <v>8</v>
      </c>
      <c r="K6" s="61">
        <v>9</v>
      </c>
      <c r="L6" s="61">
        <v>10</v>
      </c>
      <c r="M6" s="61">
        <v>11</v>
      </c>
    </row>
    <row r="7" spans="1:24" s="69" customFormat="1" ht="28.9" customHeight="1" x14ac:dyDescent="0.25">
      <c r="A7" s="473" t="s">
        <v>223</v>
      </c>
      <c r="B7" s="473"/>
      <c r="C7" s="473"/>
      <c r="D7" s="61">
        <v>1000</v>
      </c>
      <c r="E7" s="61"/>
      <c r="F7" s="61"/>
      <c r="G7" s="61"/>
      <c r="H7" s="61"/>
      <c r="I7" s="61"/>
      <c r="J7" s="61"/>
      <c r="K7" s="61"/>
      <c r="L7" s="61"/>
      <c r="M7" s="61"/>
    </row>
    <row r="8" spans="1:24" s="69" customFormat="1" ht="51" customHeight="1" x14ac:dyDescent="0.25">
      <c r="A8" s="472" t="s">
        <v>224</v>
      </c>
      <c r="B8" s="472"/>
      <c r="C8" s="472"/>
      <c r="D8" s="61">
        <v>1100</v>
      </c>
      <c r="E8" s="61"/>
      <c r="F8" s="61"/>
      <c r="G8" s="61"/>
      <c r="H8" s="61"/>
      <c r="I8" s="61"/>
      <c r="J8" s="61"/>
      <c r="K8" s="61"/>
      <c r="L8" s="61"/>
      <c r="M8" s="61"/>
    </row>
    <row r="9" spans="1:24" s="69" customFormat="1" ht="25.5" customHeight="1" x14ac:dyDescent="0.25">
      <c r="A9" s="472" t="s">
        <v>225</v>
      </c>
      <c r="B9" s="472"/>
      <c r="C9" s="472"/>
      <c r="D9" s="61">
        <v>1200</v>
      </c>
      <c r="E9" s="61"/>
      <c r="F9" s="61"/>
      <c r="G9" s="61"/>
      <c r="H9" s="61"/>
      <c r="I9" s="61"/>
      <c r="J9" s="61"/>
      <c r="K9" s="61"/>
      <c r="L9" s="61"/>
      <c r="M9" s="61"/>
    </row>
    <row r="10" spans="1:24" s="69" customFormat="1" ht="29.25" customHeight="1" x14ac:dyDescent="0.25">
      <c r="A10" s="472" t="s">
        <v>226</v>
      </c>
      <c r="B10" s="472"/>
      <c r="C10" s="472"/>
      <c r="D10" s="61">
        <v>1300</v>
      </c>
      <c r="E10" s="61"/>
      <c r="F10" s="61"/>
      <c r="G10" s="61"/>
      <c r="H10" s="61"/>
      <c r="I10" s="61"/>
      <c r="J10" s="61"/>
      <c r="K10" s="61"/>
      <c r="L10" s="61"/>
      <c r="M10" s="61"/>
    </row>
    <row r="11" spans="1:24" s="69" customFormat="1" ht="105.75" customHeight="1" x14ac:dyDescent="0.25">
      <c r="A11" s="522" t="s">
        <v>227</v>
      </c>
      <c r="B11" s="523"/>
      <c r="C11" s="524"/>
      <c r="D11" s="61">
        <v>1400</v>
      </c>
      <c r="E11" s="61"/>
      <c r="F11" s="61"/>
      <c r="G11" s="61"/>
      <c r="H11" s="61"/>
      <c r="I11" s="61"/>
      <c r="J11" s="61"/>
      <c r="K11" s="61"/>
      <c r="L11" s="61"/>
      <c r="M11" s="61"/>
    </row>
    <row r="12" spans="1:24" s="69" customFormat="1" ht="19.149999999999999" customHeight="1" x14ac:dyDescent="0.25">
      <c r="A12" s="472" t="s">
        <v>228</v>
      </c>
      <c r="B12" s="472"/>
      <c r="C12" s="472"/>
      <c r="D12" s="61">
        <v>1500</v>
      </c>
      <c r="E12" s="61"/>
      <c r="F12" s="61"/>
      <c r="G12" s="61"/>
      <c r="H12" s="61"/>
      <c r="I12" s="61"/>
      <c r="J12" s="61"/>
      <c r="K12" s="61"/>
      <c r="L12" s="61"/>
      <c r="M12" s="61"/>
    </row>
    <row r="13" spans="1:24" s="69" customFormat="1" ht="31.15" customHeight="1" x14ac:dyDescent="0.25">
      <c r="A13" s="472" t="s">
        <v>229</v>
      </c>
      <c r="B13" s="472"/>
      <c r="C13" s="472"/>
      <c r="D13" s="61">
        <v>1600</v>
      </c>
      <c r="E13" s="61"/>
      <c r="F13" s="61"/>
      <c r="G13" s="61"/>
      <c r="H13" s="61"/>
      <c r="I13" s="61"/>
      <c r="J13" s="61"/>
      <c r="K13" s="61"/>
      <c r="L13" s="61"/>
      <c r="M13" s="61"/>
    </row>
    <row r="14" spans="1:24" s="69" customFormat="1" ht="17.25" customHeight="1" x14ac:dyDescent="0.25">
      <c r="A14" s="472" t="s">
        <v>230</v>
      </c>
      <c r="B14" s="472"/>
      <c r="C14" s="472"/>
      <c r="D14" s="61">
        <v>1700</v>
      </c>
      <c r="E14" s="61"/>
      <c r="F14" s="61"/>
      <c r="G14" s="61"/>
      <c r="H14" s="61"/>
      <c r="I14" s="61"/>
      <c r="J14" s="61"/>
      <c r="K14" s="61"/>
      <c r="L14" s="61"/>
      <c r="M14" s="61"/>
    </row>
    <row r="15" spans="1:24" s="69" customFormat="1" ht="42" customHeight="1" x14ac:dyDescent="0.25">
      <c r="A15" s="472" t="s">
        <v>231</v>
      </c>
      <c r="B15" s="472"/>
      <c r="C15" s="472"/>
      <c r="D15" s="61">
        <v>1800</v>
      </c>
      <c r="E15" s="61"/>
      <c r="F15" s="61"/>
      <c r="G15" s="61"/>
      <c r="H15" s="61"/>
      <c r="I15" s="61"/>
      <c r="J15" s="61"/>
      <c r="K15" s="61"/>
      <c r="L15" s="61"/>
      <c r="M15" s="61"/>
    </row>
    <row r="16" spans="1:24" s="69" customFormat="1" ht="26.25" customHeight="1" x14ac:dyDescent="0.25">
      <c r="A16" s="472" t="s">
        <v>232</v>
      </c>
      <c r="B16" s="472"/>
      <c r="C16" s="472"/>
      <c r="D16" s="61">
        <v>1900</v>
      </c>
      <c r="E16" s="61"/>
      <c r="F16" s="61"/>
      <c r="G16" s="61"/>
      <c r="H16" s="61"/>
      <c r="I16" s="61"/>
      <c r="J16" s="61"/>
      <c r="K16" s="61"/>
      <c r="L16" s="61"/>
      <c r="M16" s="61"/>
    </row>
    <row r="17" spans="1:13" s="69" customFormat="1" x14ac:dyDescent="0.25">
      <c r="A17" s="473" t="s">
        <v>233</v>
      </c>
      <c r="B17" s="473"/>
      <c r="C17" s="473"/>
      <c r="D17" s="61">
        <v>2000</v>
      </c>
      <c r="E17" s="61"/>
      <c r="F17" s="61"/>
      <c r="G17" s="61"/>
      <c r="H17" s="61"/>
      <c r="I17" s="61"/>
      <c r="J17" s="61"/>
      <c r="K17" s="61"/>
      <c r="L17" s="61"/>
      <c r="M17" s="61"/>
    </row>
    <row r="18" spans="1:13" s="69" customFormat="1" x14ac:dyDescent="0.25">
      <c r="A18" s="472" t="s">
        <v>234</v>
      </c>
      <c r="B18" s="472"/>
      <c r="C18" s="472"/>
      <c r="D18" s="61">
        <v>2100</v>
      </c>
      <c r="E18" s="61"/>
      <c r="F18" s="61"/>
      <c r="G18" s="61"/>
      <c r="H18" s="61"/>
      <c r="I18" s="61"/>
      <c r="J18" s="61"/>
      <c r="K18" s="61"/>
      <c r="L18" s="61"/>
      <c r="M18" s="61"/>
    </row>
    <row r="19" spans="1:13" s="69" customFormat="1" ht="15" customHeight="1" x14ac:dyDescent="0.25">
      <c r="A19" s="472" t="s">
        <v>235</v>
      </c>
      <c r="B19" s="472"/>
      <c r="C19" s="472"/>
      <c r="D19" s="61">
        <v>2200</v>
      </c>
      <c r="E19" s="61"/>
      <c r="F19" s="61"/>
      <c r="G19" s="61"/>
      <c r="H19" s="61"/>
      <c r="I19" s="61"/>
      <c r="J19" s="61"/>
      <c r="K19" s="61"/>
      <c r="L19" s="61"/>
      <c r="M19" s="61"/>
    </row>
    <row r="20" spans="1:13" s="69" customFormat="1" ht="27" customHeight="1" x14ac:dyDescent="0.25">
      <c r="A20" s="473" t="s">
        <v>236</v>
      </c>
      <c r="B20" s="473"/>
      <c r="C20" s="473"/>
      <c r="D20" s="61">
        <v>3000</v>
      </c>
      <c r="E20" s="61"/>
      <c r="F20" s="61"/>
      <c r="G20" s="61"/>
      <c r="H20" s="61"/>
      <c r="I20" s="61"/>
      <c r="J20" s="61"/>
      <c r="K20" s="61"/>
      <c r="L20" s="61"/>
      <c r="M20" s="61"/>
    </row>
    <row r="21" spans="1:13" s="69" customFormat="1" ht="29.25" customHeight="1" x14ac:dyDescent="0.25">
      <c r="A21" s="472" t="s">
        <v>237</v>
      </c>
      <c r="B21" s="472"/>
      <c r="C21" s="472"/>
      <c r="D21" s="61">
        <v>3100</v>
      </c>
      <c r="E21" s="61"/>
      <c r="F21" s="61"/>
      <c r="G21" s="61"/>
      <c r="H21" s="61"/>
      <c r="I21" s="61"/>
      <c r="J21" s="61"/>
      <c r="K21" s="61"/>
      <c r="L21" s="61"/>
      <c r="M21" s="61"/>
    </row>
    <row r="22" spans="1:13" s="69" customFormat="1" ht="30" customHeight="1" x14ac:dyDescent="0.25">
      <c r="A22" s="472" t="s">
        <v>238</v>
      </c>
      <c r="B22" s="472"/>
      <c r="C22" s="472"/>
      <c r="D22" s="61">
        <v>3200</v>
      </c>
      <c r="E22" s="61"/>
      <c r="F22" s="61"/>
      <c r="G22" s="61"/>
      <c r="H22" s="61"/>
      <c r="I22" s="61"/>
      <c r="J22" s="61"/>
      <c r="K22" s="61"/>
      <c r="L22" s="61"/>
      <c r="M22" s="61"/>
    </row>
    <row r="23" spans="1:13" s="69" customFormat="1" x14ac:dyDescent="0.25">
      <c r="A23" s="472" t="s">
        <v>239</v>
      </c>
      <c r="B23" s="472"/>
      <c r="C23" s="472"/>
      <c r="D23" s="61">
        <v>3300</v>
      </c>
      <c r="E23" s="61"/>
      <c r="F23" s="61"/>
      <c r="G23" s="61"/>
      <c r="H23" s="61"/>
      <c r="I23" s="61"/>
      <c r="J23" s="61"/>
      <c r="K23" s="61"/>
      <c r="L23" s="61"/>
      <c r="M23" s="61"/>
    </row>
    <row r="24" spans="1:13" s="69" customFormat="1" x14ac:dyDescent="0.25">
      <c r="A24" s="472" t="s">
        <v>240</v>
      </c>
      <c r="B24" s="472"/>
      <c r="C24" s="472"/>
      <c r="D24" s="61">
        <v>3400</v>
      </c>
      <c r="E24" s="61"/>
      <c r="F24" s="61"/>
      <c r="G24" s="61"/>
      <c r="H24" s="61"/>
      <c r="I24" s="61"/>
      <c r="J24" s="61"/>
      <c r="K24" s="61"/>
      <c r="L24" s="61"/>
      <c r="M24" s="61"/>
    </row>
    <row r="25" spans="1:13" s="69" customFormat="1" ht="15" customHeight="1" x14ac:dyDescent="0.25">
      <c r="A25" s="472" t="s">
        <v>241</v>
      </c>
      <c r="B25" s="472"/>
      <c r="C25" s="472"/>
      <c r="D25" s="61">
        <v>3500</v>
      </c>
      <c r="E25" s="61"/>
      <c r="F25" s="61"/>
      <c r="G25" s="61"/>
      <c r="H25" s="61"/>
      <c r="I25" s="61"/>
      <c r="J25" s="61"/>
      <c r="K25" s="61"/>
      <c r="L25" s="61"/>
      <c r="M25" s="61"/>
    </row>
    <row r="26" spans="1:13" s="69" customFormat="1" x14ac:dyDescent="0.25">
      <c r="A26" s="472" t="s">
        <v>242</v>
      </c>
      <c r="B26" s="472"/>
      <c r="C26" s="472"/>
      <c r="D26" s="61">
        <v>3600</v>
      </c>
      <c r="E26" s="61"/>
      <c r="F26" s="61"/>
      <c r="G26" s="61"/>
      <c r="H26" s="61"/>
      <c r="I26" s="61"/>
      <c r="J26" s="61"/>
      <c r="K26" s="61"/>
      <c r="L26" s="61"/>
      <c r="M26" s="61"/>
    </row>
    <row r="27" spans="1:13" s="69" customFormat="1" x14ac:dyDescent="0.25">
      <c r="A27" s="472" t="s">
        <v>243</v>
      </c>
      <c r="B27" s="472"/>
      <c r="C27" s="472"/>
      <c r="D27" s="61">
        <v>3700</v>
      </c>
      <c r="E27" s="61"/>
      <c r="F27" s="61"/>
      <c r="G27" s="61"/>
      <c r="H27" s="61"/>
      <c r="I27" s="61"/>
      <c r="J27" s="61"/>
      <c r="K27" s="61"/>
      <c r="L27" s="61"/>
      <c r="M27" s="61"/>
    </row>
    <row r="28" spans="1:13" s="69" customFormat="1" ht="29.45" customHeight="1" x14ac:dyDescent="0.25">
      <c r="A28" s="472" t="s">
        <v>244</v>
      </c>
      <c r="B28" s="472"/>
      <c r="C28" s="472"/>
      <c r="D28" s="61">
        <v>3800</v>
      </c>
      <c r="E28" s="61"/>
      <c r="F28" s="61"/>
      <c r="G28" s="61"/>
      <c r="H28" s="61"/>
      <c r="I28" s="61"/>
      <c r="J28" s="61"/>
      <c r="K28" s="61"/>
      <c r="L28" s="61"/>
      <c r="M28" s="61"/>
    </row>
    <row r="29" spans="1:13" s="69" customFormat="1" ht="63.75" customHeight="1" x14ac:dyDescent="0.25">
      <c r="A29" s="472" t="s">
        <v>245</v>
      </c>
      <c r="B29" s="472"/>
      <c r="C29" s="472"/>
      <c r="D29" s="61">
        <v>3900</v>
      </c>
      <c r="E29" s="61"/>
      <c r="F29" s="61"/>
      <c r="G29" s="61"/>
      <c r="H29" s="61"/>
      <c r="I29" s="61"/>
      <c r="J29" s="61"/>
      <c r="K29" s="61"/>
      <c r="L29" s="61"/>
      <c r="M29" s="61"/>
    </row>
    <row r="30" spans="1:13" s="69" customFormat="1" ht="17.45" customHeight="1" x14ac:dyDescent="0.25">
      <c r="A30" s="473" t="s">
        <v>20</v>
      </c>
      <c r="B30" s="473"/>
      <c r="C30" s="473"/>
      <c r="D30" s="61">
        <v>9000</v>
      </c>
      <c r="E30" s="61"/>
      <c r="F30" s="61"/>
      <c r="G30" s="61"/>
      <c r="H30" s="61"/>
      <c r="I30" s="61"/>
      <c r="J30" s="61"/>
      <c r="K30" s="61"/>
      <c r="L30" s="61"/>
      <c r="M30" s="61"/>
    </row>
    <row r="31" spans="1:13" s="69" customFormat="1" ht="48.75" customHeight="1" x14ac:dyDescent="0.25">
      <c r="D31" s="65"/>
    </row>
  </sheetData>
  <mergeCells count="34">
    <mergeCell ref="A10:C10"/>
    <mergeCell ref="A2:I2"/>
    <mergeCell ref="A3:C5"/>
    <mergeCell ref="D3:D5"/>
    <mergeCell ref="E3:H3"/>
    <mergeCell ref="I3:M3"/>
    <mergeCell ref="E4:E5"/>
    <mergeCell ref="F4:H4"/>
    <mergeCell ref="I4:I5"/>
    <mergeCell ref="J4:M4"/>
    <mergeCell ref="A6:C6"/>
    <mergeCell ref="A7:C7"/>
    <mergeCell ref="A8:C8"/>
    <mergeCell ref="A9:C9"/>
    <mergeCell ref="A22:C2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9:C29"/>
    <mergeCell ref="A30:C30"/>
    <mergeCell ref="A23:C23"/>
    <mergeCell ref="A24:C24"/>
    <mergeCell ref="A25:C25"/>
    <mergeCell ref="A26:C26"/>
    <mergeCell ref="A27:C27"/>
    <mergeCell ref="A28:C28"/>
  </mergeCells>
  <pageMargins left="0.39370078740157483" right="0.39370078740157483" top="0.78740157480314965" bottom="0.39370078740157483" header="0.31496062992125984" footer="0.31496062992125984"/>
  <pageSetup paperSize="9" scale="97" firstPageNumber="12" fitToWidth="2" fitToHeight="200" orientation="landscape" useFirstPageNumber="1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33"/>
  <sheetViews>
    <sheetView view="pageBreakPreview" topLeftCell="A7" zoomScale="80" zoomScaleNormal="100" zoomScaleSheetLayoutView="80" workbookViewId="0">
      <selection activeCell="J41" sqref="J41"/>
    </sheetView>
  </sheetViews>
  <sheetFormatPr defaultColWidth="9.140625" defaultRowHeight="15" x14ac:dyDescent="0.25"/>
  <cols>
    <col min="1" max="1" width="9.28515625" style="53" bestFit="1" customWidth="1"/>
    <col min="2" max="2" width="10.85546875" style="53" customWidth="1"/>
    <col min="3" max="3" width="14.7109375" style="53" customWidth="1"/>
    <col min="4" max="4" width="7.7109375" style="53" customWidth="1"/>
    <col min="5" max="5" width="17.42578125" style="53" customWidth="1"/>
    <col min="6" max="6" width="9.28515625" style="53" bestFit="1" customWidth="1"/>
    <col min="7" max="7" width="11.85546875" style="53" bestFit="1" customWidth="1"/>
    <col min="8" max="8" width="10.140625" style="53" bestFit="1" customWidth="1"/>
    <col min="9" max="9" width="12" style="53" customWidth="1"/>
    <col min="10" max="10" width="10.28515625" style="53" bestFit="1" customWidth="1"/>
    <col min="11" max="11" width="9.5703125" style="53" bestFit="1" customWidth="1"/>
    <col min="12" max="13" width="10.140625" style="53" bestFit="1" customWidth="1"/>
    <col min="14" max="14" width="12.85546875" style="53" bestFit="1" customWidth="1"/>
    <col min="15" max="15" width="10.5703125" style="53" bestFit="1" customWidth="1"/>
    <col min="16" max="16" width="9.28515625" style="53" bestFit="1" customWidth="1"/>
    <col min="17" max="17" width="11.85546875" style="53" bestFit="1" customWidth="1"/>
    <col min="18" max="18" width="9.28515625" style="53" bestFit="1" customWidth="1"/>
    <col min="19" max="19" width="9.140625" style="53" customWidth="1"/>
    <col min="20" max="21" width="9.28515625" style="53" bestFit="1" customWidth="1"/>
    <col min="22" max="22" width="12.5703125" style="53" bestFit="1" customWidth="1"/>
    <col min="23" max="23" width="9.28515625" style="53" bestFit="1" customWidth="1"/>
    <col min="24" max="24" width="11.5703125" style="53" bestFit="1" customWidth="1"/>
    <col min="25" max="28" width="9.28515625" style="53" bestFit="1" customWidth="1"/>
    <col min="29" max="16384" width="9.140625" style="53"/>
  </cols>
  <sheetData>
    <row r="1" spans="1:28" s="74" customFormat="1" ht="18.600000000000001" customHeight="1" x14ac:dyDescent="0.25">
      <c r="B1" s="75"/>
      <c r="C1" s="75"/>
      <c r="D1" s="75"/>
      <c r="E1" s="75" t="s">
        <v>297</v>
      </c>
      <c r="F1" s="75"/>
      <c r="G1" s="75"/>
      <c r="H1" s="75"/>
      <c r="I1" s="75"/>
      <c r="J1" s="75"/>
      <c r="K1" s="75"/>
      <c r="L1" s="75"/>
      <c r="M1" s="75"/>
      <c r="N1" s="75"/>
    </row>
    <row r="2" spans="1:28" s="69" customFormat="1" ht="13.5" customHeight="1" x14ac:dyDescent="0.25">
      <c r="D2" s="65"/>
    </row>
    <row r="3" spans="1:28" s="69" customFormat="1" ht="17.45" customHeight="1" x14ac:dyDescent="0.25">
      <c r="A3" s="400" t="s">
        <v>40</v>
      </c>
      <c r="B3" s="400"/>
      <c r="C3" s="400"/>
      <c r="D3" s="400" t="s">
        <v>9</v>
      </c>
      <c r="E3" s="400" t="s">
        <v>246</v>
      </c>
      <c r="F3" s="400"/>
      <c r="G3" s="400"/>
      <c r="H3" s="400"/>
      <c r="I3" s="400"/>
      <c r="J3" s="400"/>
      <c r="K3" s="400"/>
      <c r="L3" s="400"/>
      <c r="M3" s="432" t="s">
        <v>247</v>
      </c>
      <c r="N3" s="432"/>
      <c r="O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</row>
    <row r="4" spans="1:28" s="69" customFormat="1" ht="18.600000000000001" customHeight="1" x14ac:dyDescent="0.25">
      <c r="A4" s="400"/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32" t="s">
        <v>248</v>
      </c>
      <c r="N4" s="432"/>
      <c r="O4" s="432"/>
      <c r="P4" s="432"/>
      <c r="Q4" s="432"/>
      <c r="R4" s="432"/>
      <c r="S4" s="432"/>
      <c r="T4" s="432"/>
      <c r="U4" s="431" t="s">
        <v>249</v>
      </c>
      <c r="V4" s="431"/>
      <c r="W4" s="431"/>
      <c r="X4" s="431"/>
      <c r="Y4" s="431"/>
      <c r="Z4" s="431"/>
      <c r="AA4" s="431"/>
      <c r="AB4" s="431"/>
    </row>
    <row r="5" spans="1:28" s="69" customFormat="1" ht="18.600000000000001" customHeight="1" x14ac:dyDescent="0.25">
      <c r="A5" s="400"/>
      <c r="B5" s="400"/>
      <c r="C5" s="400"/>
      <c r="D5" s="400"/>
      <c r="E5" s="400" t="s">
        <v>15</v>
      </c>
      <c r="F5" s="400"/>
      <c r="G5" s="400" t="s">
        <v>54</v>
      </c>
      <c r="H5" s="400"/>
      <c r="I5" s="400"/>
      <c r="J5" s="400"/>
      <c r="K5" s="400"/>
      <c r="L5" s="400"/>
      <c r="M5" s="400" t="s">
        <v>15</v>
      </c>
      <c r="N5" s="400"/>
      <c r="O5" s="400" t="s">
        <v>54</v>
      </c>
      <c r="P5" s="400"/>
      <c r="Q5" s="400"/>
      <c r="R5" s="400"/>
      <c r="S5" s="400"/>
      <c r="T5" s="400"/>
      <c r="U5" s="400" t="s">
        <v>15</v>
      </c>
      <c r="V5" s="400"/>
      <c r="W5" s="400" t="s">
        <v>54</v>
      </c>
      <c r="X5" s="400"/>
      <c r="Y5" s="400"/>
      <c r="Z5" s="400"/>
      <c r="AA5" s="400"/>
      <c r="AB5" s="400"/>
    </row>
    <row r="6" spans="1:28" s="69" customFormat="1" ht="55.5" customHeight="1" x14ac:dyDescent="0.25">
      <c r="A6" s="400"/>
      <c r="B6" s="400"/>
      <c r="C6" s="400"/>
      <c r="D6" s="400"/>
      <c r="E6" s="400"/>
      <c r="F6" s="400"/>
      <c r="G6" s="400" t="s">
        <v>250</v>
      </c>
      <c r="H6" s="400"/>
      <c r="I6" s="400" t="s">
        <v>251</v>
      </c>
      <c r="J6" s="400"/>
      <c r="K6" s="400" t="s">
        <v>252</v>
      </c>
      <c r="L6" s="400"/>
      <c r="M6" s="400"/>
      <c r="N6" s="400"/>
      <c r="O6" s="400" t="s">
        <v>250</v>
      </c>
      <c r="P6" s="400"/>
      <c r="Q6" s="400" t="s">
        <v>251</v>
      </c>
      <c r="R6" s="400"/>
      <c r="S6" s="61" t="s">
        <v>252</v>
      </c>
      <c r="T6" s="61"/>
      <c r="U6" s="400"/>
      <c r="V6" s="400"/>
      <c r="W6" s="400" t="s">
        <v>250</v>
      </c>
      <c r="X6" s="400"/>
      <c r="Y6" s="400" t="s">
        <v>251</v>
      </c>
      <c r="Z6" s="400"/>
      <c r="AA6" s="400" t="s">
        <v>252</v>
      </c>
      <c r="AB6" s="400"/>
    </row>
    <row r="7" spans="1:28" s="69" customFormat="1" ht="56.25" customHeight="1" x14ac:dyDescent="0.25">
      <c r="A7" s="400"/>
      <c r="B7" s="400"/>
      <c r="C7" s="400"/>
      <c r="D7" s="400"/>
      <c r="E7" s="61" t="s">
        <v>221</v>
      </c>
      <c r="F7" s="61" t="s">
        <v>222</v>
      </c>
      <c r="G7" s="61" t="s">
        <v>221</v>
      </c>
      <c r="H7" s="61" t="s">
        <v>222</v>
      </c>
      <c r="I7" s="61" t="s">
        <v>221</v>
      </c>
      <c r="J7" s="61" t="s">
        <v>222</v>
      </c>
      <c r="K7" s="61" t="s">
        <v>221</v>
      </c>
      <c r="L7" s="61" t="s">
        <v>222</v>
      </c>
      <c r="M7" s="61" t="s">
        <v>221</v>
      </c>
      <c r="N7" s="61" t="s">
        <v>222</v>
      </c>
      <c r="O7" s="61" t="s">
        <v>221</v>
      </c>
      <c r="P7" s="61" t="s">
        <v>222</v>
      </c>
      <c r="Q7" s="61" t="s">
        <v>221</v>
      </c>
      <c r="R7" s="61" t="s">
        <v>222</v>
      </c>
      <c r="S7" s="61" t="s">
        <v>221</v>
      </c>
      <c r="T7" s="61" t="s">
        <v>222</v>
      </c>
      <c r="U7" s="61" t="s">
        <v>221</v>
      </c>
      <c r="V7" s="61" t="s">
        <v>222</v>
      </c>
      <c r="W7" s="61" t="s">
        <v>221</v>
      </c>
      <c r="X7" s="61" t="s">
        <v>222</v>
      </c>
      <c r="Y7" s="61" t="s">
        <v>221</v>
      </c>
      <c r="Z7" s="61" t="s">
        <v>222</v>
      </c>
      <c r="AA7" s="61" t="s">
        <v>221</v>
      </c>
      <c r="AB7" s="61" t="s">
        <v>222</v>
      </c>
    </row>
    <row r="8" spans="1:28" s="69" customFormat="1" x14ac:dyDescent="0.25">
      <c r="A8" s="400">
        <v>1</v>
      </c>
      <c r="B8" s="400"/>
      <c r="C8" s="400"/>
      <c r="D8" s="61">
        <v>2</v>
      </c>
      <c r="E8" s="61">
        <v>3</v>
      </c>
      <c r="F8" s="61">
        <v>4</v>
      </c>
      <c r="G8" s="61">
        <v>5</v>
      </c>
      <c r="H8" s="61">
        <v>6</v>
      </c>
      <c r="I8" s="61">
        <v>7</v>
      </c>
      <c r="J8" s="61">
        <v>8</v>
      </c>
      <c r="K8" s="61">
        <v>9</v>
      </c>
      <c r="L8" s="61">
        <v>10</v>
      </c>
      <c r="M8" s="61">
        <v>11</v>
      </c>
      <c r="N8" s="61">
        <v>12</v>
      </c>
      <c r="O8" s="61">
        <v>13</v>
      </c>
      <c r="P8" s="61">
        <v>14</v>
      </c>
      <c r="Q8" s="61">
        <v>15</v>
      </c>
      <c r="R8" s="61">
        <v>16</v>
      </c>
      <c r="S8" s="61">
        <v>17</v>
      </c>
      <c r="T8" s="61">
        <v>18</v>
      </c>
      <c r="U8" s="61">
        <v>19</v>
      </c>
      <c r="V8" s="61">
        <v>20</v>
      </c>
      <c r="W8" s="61">
        <v>21</v>
      </c>
      <c r="X8" s="61">
        <v>22</v>
      </c>
      <c r="Y8" s="61">
        <v>23</v>
      </c>
      <c r="Z8" s="61">
        <v>24</v>
      </c>
      <c r="AA8" s="61">
        <v>25</v>
      </c>
      <c r="AB8" s="61">
        <v>26</v>
      </c>
    </row>
    <row r="9" spans="1:28" s="69" customFormat="1" ht="30.6" customHeight="1" x14ac:dyDescent="0.25">
      <c r="A9" s="396" t="s">
        <v>223</v>
      </c>
      <c r="B9" s="396"/>
      <c r="C9" s="396"/>
      <c r="D9" s="61">
        <v>1000</v>
      </c>
      <c r="E9" s="61">
        <f>E10</f>
        <v>1</v>
      </c>
      <c r="F9" s="61">
        <f t="shared" ref="F9:P9" si="0">F10</f>
        <v>1</v>
      </c>
      <c r="G9" s="61">
        <f t="shared" si="0"/>
        <v>1</v>
      </c>
      <c r="H9" s="61">
        <f t="shared" si="0"/>
        <v>1</v>
      </c>
      <c r="I9" s="61"/>
      <c r="J9" s="61"/>
      <c r="K9" s="61"/>
      <c r="L9" s="61"/>
      <c r="M9" s="61">
        <f t="shared" si="0"/>
        <v>1</v>
      </c>
      <c r="N9" s="61">
        <f t="shared" si="0"/>
        <v>1</v>
      </c>
      <c r="O9" s="61">
        <f t="shared" si="0"/>
        <v>1</v>
      </c>
      <c r="P9" s="61">
        <f t="shared" si="0"/>
        <v>1</v>
      </c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</row>
    <row r="10" spans="1:28" s="69" customFormat="1" ht="47.25" customHeight="1" x14ac:dyDescent="0.25">
      <c r="A10" s="521" t="s">
        <v>224</v>
      </c>
      <c r="B10" s="521"/>
      <c r="C10" s="521"/>
      <c r="D10" s="61">
        <v>1100</v>
      </c>
      <c r="E10" s="61">
        <v>1</v>
      </c>
      <c r="F10" s="61">
        <v>1</v>
      </c>
      <c r="G10" s="61">
        <v>1</v>
      </c>
      <c r="H10" s="61">
        <v>1</v>
      </c>
      <c r="I10" s="61"/>
      <c r="J10" s="61"/>
      <c r="K10" s="61"/>
      <c r="L10" s="61"/>
      <c r="M10" s="61">
        <v>1</v>
      </c>
      <c r="N10" s="61">
        <v>1</v>
      </c>
      <c r="O10" s="61">
        <v>1</v>
      </c>
      <c r="P10" s="61">
        <v>1</v>
      </c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69" customFormat="1" ht="25.5" customHeight="1" x14ac:dyDescent="0.25">
      <c r="A11" s="525" t="s">
        <v>225</v>
      </c>
      <c r="B11" s="526"/>
      <c r="C11" s="527"/>
      <c r="D11" s="61">
        <v>1200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</row>
    <row r="12" spans="1:28" s="69" customFormat="1" ht="27" customHeight="1" x14ac:dyDescent="0.25">
      <c r="A12" s="521" t="s">
        <v>226</v>
      </c>
      <c r="B12" s="521"/>
      <c r="C12" s="521"/>
      <c r="D12" s="61">
        <v>1300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</row>
    <row r="13" spans="1:28" s="69" customFormat="1" ht="116.25" customHeight="1" x14ac:dyDescent="0.25">
      <c r="A13" s="521" t="s">
        <v>227</v>
      </c>
      <c r="B13" s="521"/>
      <c r="C13" s="521"/>
      <c r="D13" s="61">
        <v>1400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</row>
    <row r="14" spans="1:28" s="69" customFormat="1" ht="18" customHeight="1" x14ac:dyDescent="0.25">
      <c r="A14" s="521" t="s">
        <v>228</v>
      </c>
      <c r="B14" s="521"/>
      <c r="C14" s="521"/>
      <c r="D14" s="61">
        <v>1500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</row>
    <row r="15" spans="1:28" s="69" customFormat="1" ht="30" customHeight="1" x14ac:dyDescent="0.25">
      <c r="A15" s="521" t="s">
        <v>253</v>
      </c>
      <c r="B15" s="521"/>
      <c r="C15" s="521"/>
      <c r="D15" s="61">
        <v>1600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</row>
    <row r="16" spans="1:28" s="69" customFormat="1" x14ac:dyDescent="0.25">
      <c r="A16" s="521" t="s">
        <v>230</v>
      </c>
      <c r="B16" s="521"/>
      <c r="C16" s="521"/>
      <c r="D16" s="61">
        <v>1700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</row>
    <row r="17" spans="1:28" s="69" customFormat="1" ht="53.25" customHeight="1" x14ac:dyDescent="0.25">
      <c r="A17" s="521" t="s">
        <v>231</v>
      </c>
      <c r="B17" s="521"/>
      <c r="C17" s="521"/>
      <c r="D17" s="61">
        <v>1800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</row>
    <row r="18" spans="1:28" s="69" customFormat="1" x14ac:dyDescent="0.25">
      <c r="A18" s="521" t="s">
        <v>232</v>
      </c>
      <c r="B18" s="521"/>
      <c r="C18" s="521"/>
      <c r="D18" s="61">
        <v>1900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</row>
    <row r="19" spans="1:28" s="69" customFormat="1" x14ac:dyDescent="0.25">
      <c r="A19" s="396" t="s">
        <v>233</v>
      </c>
      <c r="B19" s="396"/>
      <c r="C19" s="396"/>
      <c r="D19" s="61">
        <v>2000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28" s="69" customFormat="1" x14ac:dyDescent="0.25">
      <c r="A20" s="521" t="s">
        <v>234</v>
      </c>
      <c r="B20" s="521"/>
      <c r="C20" s="521"/>
      <c r="D20" s="61">
        <v>2100</v>
      </c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28" s="69" customFormat="1" ht="15" customHeight="1" x14ac:dyDescent="0.25">
      <c r="A21" s="521" t="s">
        <v>235</v>
      </c>
      <c r="B21" s="521"/>
      <c r="C21" s="521"/>
      <c r="D21" s="61">
        <v>2200</v>
      </c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28" s="69" customFormat="1" ht="30" customHeight="1" x14ac:dyDescent="0.25">
      <c r="A22" s="396" t="s">
        <v>236</v>
      </c>
      <c r="B22" s="396"/>
      <c r="C22" s="396"/>
      <c r="D22" s="61">
        <v>3000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28" s="69" customFormat="1" ht="26.45" customHeight="1" x14ac:dyDescent="0.25">
      <c r="A23" s="521" t="s">
        <v>237</v>
      </c>
      <c r="B23" s="521"/>
      <c r="C23" s="521"/>
      <c r="D23" s="61">
        <v>3100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28" s="69" customFormat="1" ht="28.5" customHeight="1" x14ac:dyDescent="0.25">
      <c r="A24" s="521" t="s">
        <v>238</v>
      </c>
      <c r="B24" s="521"/>
      <c r="C24" s="521"/>
      <c r="D24" s="61">
        <v>3200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</row>
    <row r="25" spans="1:28" s="69" customFormat="1" x14ac:dyDescent="0.25">
      <c r="A25" s="521" t="s">
        <v>239</v>
      </c>
      <c r="B25" s="521"/>
      <c r="C25" s="521"/>
      <c r="D25" s="61">
        <v>3300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28" s="69" customFormat="1" ht="30.6" customHeight="1" x14ac:dyDescent="0.25">
      <c r="A26" s="521" t="s">
        <v>240</v>
      </c>
      <c r="B26" s="521"/>
      <c r="C26" s="521"/>
      <c r="D26" s="61">
        <v>3400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28" s="69" customFormat="1" x14ac:dyDescent="0.25">
      <c r="A27" s="521" t="s">
        <v>241</v>
      </c>
      <c r="B27" s="521"/>
      <c r="C27" s="521"/>
      <c r="D27" s="61">
        <v>3500</v>
      </c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28" s="69" customFormat="1" x14ac:dyDescent="0.25">
      <c r="A28" s="521" t="s">
        <v>242</v>
      </c>
      <c r="B28" s="521"/>
      <c r="C28" s="521"/>
      <c r="D28" s="61">
        <v>3600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</row>
    <row r="29" spans="1:28" s="69" customFormat="1" x14ac:dyDescent="0.25">
      <c r="A29" s="521" t="s">
        <v>243</v>
      </c>
      <c r="B29" s="521"/>
      <c r="C29" s="521"/>
      <c r="D29" s="61">
        <v>3700</v>
      </c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</row>
    <row r="30" spans="1:28" s="69" customFormat="1" ht="26.25" customHeight="1" x14ac:dyDescent="0.25">
      <c r="A30" s="521" t="s">
        <v>244</v>
      </c>
      <c r="B30" s="521"/>
      <c r="C30" s="521"/>
      <c r="D30" s="61">
        <v>3800</v>
      </c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</row>
    <row r="31" spans="1:28" s="69" customFormat="1" ht="54.75" customHeight="1" x14ac:dyDescent="0.25">
      <c r="A31" s="521" t="s">
        <v>245</v>
      </c>
      <c r="B31" s="521"/>
      <c r="C31" s="521"/>
      <c r="D31" s="61">
        <v>3900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</row>
    <row r="32" spans="1:28" s="69" customFormat="1" ht="18" customHeight="1" x14ac:dyDescent="0.25">
      <c r="A32" s="396" t="s">
        <v>20</v>
      </c>
      <c r="B32" s="396"/>
      <c r="C32" s="396"/>
      <c r="D32" s="61">
        <v>9000</v>
      </c>
      <c r="E32" s="61">
        <f>E10</f>
        <v>1</v>
      </c>
      <c r="F32" s="61">
        <f t="shared" ref="F32:P32" si="1">F10</f>
        <v>1</v>
      </c>
      <c r="G32" s="61">
        <f t="shared" si="1"/>
        <v>1</v>
      </c>
      <c r="H32" s="61">
        <f t="shared" si="1"/>
        <v>1</v>
      </c>
      <c r="I32" s="61"/>
      <c r="J32" s="61"/>
      <c r="K32" s="61"/>
      <c r="L32" s="61"/>
      <c r="M32" s="61">
        <f t="shared" si="1"/>
        <v>1</v>
      </c>
      <c r="N32" s="61">
        <f t="shared" si="1"/>
        <v>1</v>
      </c>
      <c r="O32" s="61">
        <f t="shared" si="1"/>
        <v>1</v>
      </c>
      <c r="P32" s="61">
        <f t="shared" si="1"/>
        <v>1</v>
      </c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</row>
    <row r="33" spans="4:4" s="69" customFormat="1" ht="17.45" customHeight="1" x14ac:dyDescent="0.25">
      <c r="D33" s="65"/>
    </row>
  </sheetData>
  <mergeCells count="45">
    <mergeCell ref="A8:C8"/>
    <mergeCell ref="W5:AB5"/>
    <mergeCell ref="G6:H6"/>
    <mergeCell ref="I6:J6"/>
    <mergeCell ref="K6:L6"/>
    <mergeCell ref="O6:P6"/>
    <mergeCell ref="Q6:R6"/>
    <mergeCell ref="G5:L5"/>
    <mergeCell ref="M5:N6"/>
    <mergeCell ref="O5:T5"/>
    <mergeCell ref="U5:V6"/>
    <mergeCell ref="A3:C7"/>
    <mergeCell ref="D3:D7"/>
    <mergeCell ref="E3:L4"/>
    <mergeCell ref="M3:AB3"/>
    <mergeCell ref="M4:T4"/>
    <mergeCell ref="U4:AB4"/>
    <mergeCell ref="E5:F6"/>
    <mergeCell ref="W6:X6"/>
    <mergeCell ref="Y6:Z6"/>
    <mergeCell ref="AA6:AB6"/>
    <mergeCell ref="A9:C9"/>
    <mergeCell ref="A22:C2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10:C10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28:C28"/>
  </mergeCells>
  <pageMargins left="0.39370078740157483" right="0.39370078740157483" top="0.78740157480314965" bottom="0.39370078740157483" header="0.31496062992125984" footer="0.31496062992125984"/>
  <pageSetup paperSize="9" scale="72" firstPageNumber="12" fitToWidth="2" fitToHeight="200" orientation="landscape" useFirstPageNumber="1" r:id="rId1"/>
  <colBreaks count="1" manualBreakCount="1">
    <brk id="16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35"/>
  <sheetViews>
    <sheetView view="pageBreakPreview" topLeftCell="A10" zoomScale="80" zoomScaleNormal="100" zoomScaleSheetLayoutView="80" workbookViewId="0">
      <selection activeCell="J41" sqref="J41"/>
    </sheetView>
  </sheetViews>
  <sheetFormatPr defaultColWidth="9.140625" defaultRowHeight="15" x14ac:dyDescent="0.25"/>
  <cols>
    <col min="1" max="1" width="9.28515625" style="53" bestFit="1" customWidth="1"/>
    <col min="2" max="2" width="11.5703125" style="53" customWidth="1"/>
    <col min="3" max="3" width="14.7109375" style="53" customWidth="1"/>
    <col min="4" max="4" width="7.7109375" style="53" customWidth="1"/>
    <col min="5" max="5" width="17.42578125" style="53" customWidth="1"/>
    <col min="6" max="6" width="9.85546875" style="53" bestFit="1" customWidth="1"/>
    <col min="7" max="7" width="11.85546875" style="53" bestFit="1" customWidth="1"/>
    <col min="8" max="8" width="10.140625" style="53" bestFit="1" customWidth="1"/>
    <col min="9" max="9" width="12" style="53" customWidth="1"/>
    <col min="10" max="10" width="10.28515625" style="53" bestFit="1" customWidth="1"/>
    <col min="11" max="11" width="9.5703125" style="53" bestFit="1" customWidth="1"/>
    <col min="12" max="13" width="10.140625" style="53" bestFit="1" customWidth="1"/>
    <col min="14" max="14" width="12.85546875" style="53" bestFit="1" customWidth="1"/>
    <col min="15" max="15" width="10.5703125" style="53" bestFit="1" customWidth="1"/>
    <col min="16" max="16" width="9.28515625" style="53" bestFit="1" customWidth="1"/>
    <col min="17" max="17" width="11.85546875" style="53" bestFit="1" customWidth="1"/>
    <col min="18" max="18" width="9.28515625" style="53" bestFit="1" customWidth="1"/>
    <col min="19" max="19" width="9.140625" style="53" customWidth="1"/>
    <col min="20" max="21" width="9.28515625" style="53" bestFit="1" customWidth="1"/>
    <col min="22" max="22" width="12.5703125" style="53" bestFit="1" customWidth="1"/>
    <col min="23" max="23" width="9.28515625" style="53" bestFit="1" customWidth="1"/>
    <col min="24" max="24" width="11.5703125" style="53" bestFit="1" customWidth="1"/>
    <col min="25" max="28" width="9.28515625" style="53" bestFit="1" customWidth="1"/>
    <col min="29" max="16384" width="9.140625" style="53"/>
  </cols>
  <sheetData>
    <row r="1" spans="1:18" s="80" customFormat="1" ht="19.5" customHeight="1" x14ac:dyDescent="0.25">
      <c r="B1" s="81"/>
      <c r="C1" s="81"/>
      <c r="D1" s="81"/>
      <c r="E1" s="75" t="s">
        <v>298</v>
      </c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8" s="69" customFormat="1" ht="17.45" customHeight="1" x14ac:dyDescent="0.25">
      <c r="D2" s="65"/>
    </row>
    <row r="3" spans="1:18" s="69" customFormat="1" ht="18" customHeight="1" x14ac:dyDescent="0.25">
      <c r="A3" s="400" t="s">
        <v>40</v>
      </c>
      <c r="B3" s="400"/>
      <c r="C3" s="400"/>
      <c r="D3" s="400" t="s">
        <v>9</v>
      </c>
      <c r="E3" s="400" t="s">
        <v>1356</v>
      </c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</row>
    <row r="4" spans="1:18" s="69" customFormat="1" ht="18.600000000000001" customHeight="1" x14ac:dyDescent="0.25">
      <c r="A4" s="400"/>
      <c r="B4" s="400"/>
      <c r="C4" s="400"/>
      <c r="D4" s="400"/>
      <c r="E4" s="400" t="s">
        <v>254</v>
      </c>
      <c r="F4" s="400" t="s">
        <v>54</v>
      </c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</row>
    <row r="5" spans="1:18" s="69" customFormat="1" ht="31.5" customHeight="1" x14ac:dyDescent="0.25">
      <c r="A5" s="400"/>
      <c r="B5" s="400"/>
      <c r="C5" s="400"/>
      <c r="D5" s="400"/>
      <c r="E5" s="400"/>
      <c r="F5" s="400" t="s">
        <v>255</v>
      </c>
      <c r="G5" s="400"/>
      <c r="H5" s="400"/>
      <c r="I5" s="400"/>
      <c r="J5" s="400"/>
      <c r="K5" s="400"/>
      <c r="L5" s="400" t="s">
        <v>256</v>
      </c>
      <c r="M5" s="400"/>
      <c r="N5" s="400" t="s">
        <v>215</v>
      </c>
      <c r="O5" s="400"/>
      <c r="P5" s="400"/>
      <c r="Q5" s="400" t="s">
        <v>446</v>
      </c>
    </row>
    <row r="6" spans="1:18" s="69" customFormat="1" ht="86.25" customHeight="1" x14ac:dyDescent="0.25">
      <c r="A6" s="400"/>
      <c r="B6" s="400"/>
      <c r="C6" s="400"/>
      <c r="D6" s="400"/>
      <c r="E6" s="400"/>
      <c r="F6" s="61" t="s">
        <v>438</v>
      </c>
      <c r="G6" s="61" t="s">
        <v>439</v>
      </c>
      <c r="H6" s="61" t="s">
        <v>257</v>
      </c>
      <c r="I6" s="61" t="s">
        <v>427</v>
      </c>
      <c r="J6" s="61" t="s">
        <v>440</v>
      </c>
      <c r="K6" s="61" t="s">
        <v>441</v>
      </c>
      <c r="L6" s="61" t="s">
        <v>442</v>
      </c>
      <c r="M6" s="61" t="s">
        <v>443</v>
      </c>
      <c r="N6" s="61" t="s">
        <v>258</v>
      </c>
      <c r="O6" s="61" t="s">
        <v>444</v>
      </c>
      <c r="P6" s="61" t="s">
        <v>445</v>
      </c>
      <c r="Q6" s="400"/>
    </row>
    <row r="7" spans="1:18" s="69" customFormat="1" x14ac:dyDescent="0.25">
      <c r="A7" s="400">
        <v>1</v>
      </c>
      <c r="B7" s="400"/>
      <c r="C7" s="400"/>
      <c r="D7" s="61">
        <v>2</v>
      </c>
      <c r="E7" s="61">
        <v>3</v>
      </c>
      <c r="F7" s="61">
        <v>4</v>
      </c>
      <c r="G7" s="61">
        <v>5</v>
      </c>
      <c r="H7" s="61">
        <v>6</v>
      </c>
      <c r="I7" s="61">
        <v>7</v>
      </c>
      <c r="J7" s="61">
        <v>8</v>
      </c>
      <c r="K7" s="61">
        <v>9</v>
      </c>
      <c r="L7" s="61">
        <v>10</v>
      </c>
      <c r="M7" s="61">
        <v>11</v>
      </c>
      <c r="N7" s="61">
        <v>12</v>
      </c>
      <c r="O7" s="61">
        <v>13</v>
      </c>
      <c r="P7" s="61">
        <v>14</v>
      </c>
      <c r="Q7" s="61">
        <v>15</v>
      </c>
    </row>
    <row r="8" spans="1:18" s="69" customFormat="1" ht="27.75" customHeight="1" x14ac:dyDescent="0.25">
      <c r="A8" s="396" t="s">
        <v>223</v>
      </c>
      <c r="B8" s="396"/>
      <c r="C8" s="396"/>
      <c r="D8" s="61">
        <v>1000</v>
      </c>
      <c r="E8" s="67">
        <f>E9</f>
        <v>693676.03</v>
      </c>
      <c r="F8" s="67">
        <f t="shared" ref="F8:N8" si="0">F9</f>
        <v>80183.67</v>
      </c>
      <c r="G8" s="67"/>
      <c r="H8" s="67">
        <f t="shared" si="0"/>
        <v>6849.45</v>
      </c>
      <c r="I8" s="67">
        <f t="shared" si="0"/>
        <v>0</v>
      </c>
      <c r="J8" s="67">
        <f>J9</f>
        <v>0</v>
      </c>
      <c r="K8" s="67">
        <f t="shared" si="0"/>
        <v>19990</v>
      </c>
      <c r="L8" s="67"/>
      <c r="M8" s="67"/>
      <c r="N8" s="67">
        <f t="shared" si="0"/>
        <v>584803.91</v>
      </c>
      <c r="O8" s="61"/>
      <c r="P8" s="61"/>
      <c r="Q8" s="67">
        <f>Q9</f>
        <v>1849</v>
      </c>
    </row>
    <row r="9" spans="1:18" s="69" customFormat="1" ht="57" customHeight="1" x14ac:dyDescent="0.25">
      <c r="A9" s="521" t="s">
        <v>224</v>
      </c>
      <c r="B9" s="521"/>
      <c r="C9" s="521"/>
      <c r="D9" s="260">
        <v>1100</v>
      </c>
      <c r="E9" s="261">
        <f>F9+H9+K9+N9+Q9</f>
        <v>693676.03</v>
      </c>
      <c r="F9" s="261">
        <v>80183.67</v>
      </c>
      <c r="G9" s="260"/>
      <c r="H9" s="261">
        <v>6849.45</v>
      </c>
      <c r="I9" s="261"/>
      <c r="J9" s="261"/>
      <c r="K9" s="261">
        <v>19990</v>
      </c>
      <c r="L9" s="260"/>
      <c r="M9" s="260"/>
      <c r="N9" s="261">
        <v>584803.91</v>
      </c>
      <c r="O9" s="260"/>
      <c r="P9" s="260"/>
      <c r="Q9" s="261">
        <v>1849</v>
      </c>
      <c r="R9" s="173"/>
    </row>
    <row r="10" spans="1:18" s="69" customFormat="1" ht="30.75" customHeight="1" x14ac:dyDescent="0.25">
      <c r="A10" s="521" t="s">
        <v>225</v>
      </c>
      <c r="B10" s="521"/>
      <c r="C10" s="521"/>
      <c r="D10" s="61">
        <v>1200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</row>
    <row r="11" spans="1:18" s="69" customFormat="1" ht="27" customHeight="1" x14ac:dyDescent="0.25">
      <c r="A11" s="525" t="s">
        <v>226</v>
      </c>
      <c r="B11" s="526"/>
      <c r="C11" s="527"/>
      <c r="D11" s="61">
        <v>1300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</row>
    <row r="12" spans="1:18" s="69" customFormat="1" ht="106.5" customHeight="1" x14ac:dyDescent="0.25">
      <c r="A12" s="521" t="s">
        <v>227</v>
      </c>
      <c r="B12" s="521"/>
      <c r="C12" s="521"/>
      <c r="D12" s="61">
        <v>1400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</row>
    <row r="13" spans="1:18" s="69" customFormat="1" ht="18" customHeight="1" x14ac:dyDescent="0.25">
      <c r="A13" s="521" t="s">
        <v>228</v>
      </c>
      <c r="B13" s="521"/>
      <c r="C13" s="521"/>
      <c r="D13" s="61">
        <v>1500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</row>
    <row r="14" spans="1:18" s="69" customFormat="1" ht="29.25" customHeight="1" x14ac:dyDescent="0.25">
      <c r="A14" s="521" t="s">
        <v>229</v>
      </c>
      <c r="B14" s="521"/>
      <c r="C14" s="521"/>
      <c r="D14" s="61">
        <v>1600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</row>
    <row r="15" spans="1:18" s="69" customFormat="1" x14ac:dyDescent="0.25">
      <c r="A15" s="521" t="s">
        <v>230</v>
      </c>
      <c r="B15" s="521"/>
      <c r="C15" s="521"/>
      <c r="D15" s="61">
        <v>1700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</row>
    <row r="16" spans="1:18" s="69" customFormat="1" ht="54.75" customHeight="1" x14ac:dyDescent="0.25">
      <c r="A16" s="521" t="s">
        <v>231</v>
      </c>
      <c r="B16" s="521"/>
      <c r="C16" s="521"/>
      <c r="D16" s="61">
        <v>1800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</row>
    <row r="17" spans="1:17" s="69" customFormat="1" x14ac:dyDescent="0.25">
      <c r="A17" s="521" t="s">
        <v>232</v>
      </c>
      <c r="B17" s="521"/>
      <c r="C17" s="521"/>
      <c r="D17" s="61">
        <v>1900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</row>
    <row r="18" spans="1:17" s="69" customFormat="1" x14ac:dyDescent="0.25">
      <c r="A18" s="396" t="s">
        <v>233</v>
      </c>
      <c r="B18" s="396"/>
      <c r="C18" s="396"/>
      <c r="D18" s="61">
        <v>2000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</row>
    <row r="19" spans="1:17" s="69" customFormat="1" ht="15" customHeight="1" x14ac:dyDescent="0.25">
      <c r="A19" s="521" t="s">
        <v>234</v>
      </c>
      <c r="B19" s="521"/>
      <c r="C19" s="521"/>
      <c r="D19" s="61">
        <v>2100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</row>
    <row r="20" spans="1:17" s="69" customFormat="1" ht="15.75" customHeight="1" x14ac:dyDescent="0.25">
      <c r="A20" s="521" t="s">
        <v>235</v>
      </c>
      <c r="B20" s="521"/>
      <c r="C20" s="521"/>
      <c r="D20" s="61">
        <v>2200</v>
      </c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</row>
    <row r="21" spans="1:17" s="69" customFormat="1" ht="26.45" customHeight="1" x14ac:dyDescent="0.25">
      <c r="A21" s="396" t="s">
        <v>236</v>
      </c>
      <c r="B21" s="396"/>
      <c r="C21" s="396"/>
      <c r="D21" s="61">
        <v>3000</v>
      </c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</row>
    <row r="22" spans="1:17" s="69" customFormat="1" ht="29.25" customHeight="1" x14ac:dyDescent="0.25">
      <c r="A22" s="521" t="s">
        <v>237</v>
      </c>
      <c r="B22" s="521"/>
      <c r="C22" s="521"/>
      <c r="D22" s="61">
        <v>3100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</row>
    <row r="23" spans="1:17" s="69" customFormat="1" ht="25.5" customHeight="1" x14ac:dyDescent="0.25">
      <c r="A23" s="521" t="s">
        <v>238</v>
      </c>
      <c r="B23" s="521"/>
      <c r="C23" s="521"/>
      <c r="D23" s="61">
        <v>3200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</row>
    <row r="24" spans="1:17" s="69" customFormat="1" ht="15" customHeight="1" x14ac:dyDescent="0.25">
      <c r="A24" s="521" t="s">
        <v>239</v>
      </c>
      <c r="B24" s="521"/>
      <c r="C24" s="521"/>
      <c r="D24" s="61">
        <v>3300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</row>
    <row r="25" spans="1:17" s="69" customFormat="1" x14ac:dyDescent="0.25">
      <c r="A25" s="521" t="s">
        <v>240</v>
      </c>
      <c r="B25" s="521"/>
      <c r="C25" s="521"/>
      <c r="D25" s="61">
        <v>3400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</row>
    <row r="26" spans="1:17" s="69" customFormat="1" x14ac:dyDescent="0.25">
      <c r="A26" s="521" t="s">
        <v>241</v>
      </c>
      <c r="B26" s="521"/>
      <c r="C26" s="521"/>
      <c r="D26" s="61">
        <v>3500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</row>
    <row r="27" spans="1:17" s="69" customFormat="1" x14ac:dyDescent="0.25">
      <c r="A27" s="521" t="s">
        <v>242</v>
      </c>
      <c r="B27" s="521"/>
      <c r="C27" s="521"/>
      <c r="D27" s="61">
        <v>3600</v>
      </c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s="69" customFormat="1" x14ac:dyDescent="0.25">
      <c r="A28" s="521" t="s">
        <v>243</v>
      </c>
      <c r="B28" s="521"/>
      <c r="C28" s="521"/>
      <c r="D28" s="61">
        <v>3700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1:17" s="69" customFormat="1" ht="39.75" customHeight="1" x14ac:dyDescent="0.25">
      <c r="A29" s="521" t="s">
        <v>244</v>
      </c>
      <c r="B29" s="521"/>
      <c r="C29" s="521"/>
      <c r="D29" s="61">
        <v>3800</v>
      </c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</row>
    <row r="30" spans="1:17" s="69" customFormat="1" ht="61.5" customHeight="1" x14ac:dyDescent="0.25">
      <c r="A30" s="521" t="s">
        <v>245</v>
      </c>
      <c r="B30" s="521"/>
      <c r="C30" s="521"/>
      <c r="D30" s="61">
        <v>3900</v>
      </c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</row>
    <row r="31" spans="1:17" s="69" customFormat="1" x14ac:dyDescent="0.25">
      <c r="A31" s="396" t="s">
        <v>20</v>
      </c>
      <c r="B31" s="396"/>
      <c r="C31" s="396"/>
      <c r="D31" s="61">
        <v>9000</v>
      </c>
      <c r="E31" s="67">
        <f>E8</f>
        <v>693676.03</v>
      </c>
      <c r="F31" s="67">
        <f t="shared" ref="F31:Q31" si="1">F8</f>
        <v>80183.67</v>
      </c>
      <c r="G31" s="67"/>
      <c r="H31" s="67">
        <f t="shared" si="1"/>
        <v>6849.45</v>
      </c>
      <c r="I31" s="67">
        <f t="shared" si="1"/>
        <v>0</v>
      </c>
      <c r="J31" s="67">
        <f t="shared" si="1"/>
        <v>0</v>
      </c>
      <c r="K31" s="67">
        <f t="shared" si="1"/>
        <v>19990</v>
      </c>
      <c r="L31" s="67"/>
      <c r="M31" s="67"/>
      <c r="N31" s="67">
        <f t="shared" si="1"/>
        <v>584803.91</v>
      </c>
      <c r="O31" s="67"/>
      <c r="P31" s="67"/>
      <c r="Q31" s="67">
        <f t="shared" si="1"/>
        <v>1849</v>
      </c>
    </row>
    <row r="32" spans="1:17" s="69" customFormat="1" x14ac:dyDescent="0.25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</row>
    <row r="33" spans="1:14" s="69" customFormat="1" x14ac:dyDescent="0.25">
      <c r="A33" s="83" t="s">
        <v>330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</row>
    <row r="34" spans="1:14" s="69" customFormat="1" x14ac:dyDescent="0.25">
      <c r="A34" s="71" t="s">
        <v>259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</row>
    <row r="35" spans="1:14" s="69" customFormat="1" ht="16.5" customHeight="1" x14ac:dyDescent="0.25"/>
  </sheetData>
  <mergeCells count="34">
    <mergeCell ref="A10:C10"/>
    <mergeCell ref="A11:C11"/>
    <mergeCell ref="A12:C12"/>
    <mergeCell ref="A8:C8"/>
    <mergeCell ref="A3:C6"/>
    <mergeCell ref="A7:C7"/>
    <mergeCell ref="A9:C9"/>
    <mergeCell ref="D3:D6"/>
    <mergeCell ref="E3:Q3"/>
    <mergeCell ref="E4:E6"/>
    <mergeCell ref="F4:Q4"/>
    <mergeCell ref="F5:K5"/>
    <mergeCell ref="L5:M5"/>
    <mergeCell ref="N5:P5"/>
    <mergeCell ref="Q5:Q6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27:C27"/>
    <mergeCell ref="A28:C28"/>
    <mergeCell ref="A29:C29"/>
    <mergeCell ref="A30:C30"/>
    <mergeCell ref="A31:C31"/>
  </mergeCells>
  <pageMargins left="0.39370078740157483" right="0.39370078740157483" top="0.78740157480314965" bottom="0.39370078740157483" header="0.31496062992125984" footer="0.31496062992125984"/>
  <pageSetup paperSize="9" scale="73" firstPageNumber="12" fitToHeight="200" orientation="landscape" useFirstPageNumber="1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8"/>
  <sheetViews>
    <sheetView view="pageBreakPreview" zoomScale="80" zoomScaleNormal="100" zoomScaleSheetLayoutView="80" workbookViewId="0">
      <selection activeCell="Q33" sqref="Q33"/>
    </sheetView>
  </sheetViews>
  <sheetFormatPr defaultColWidth="9.140625" defaultRowHeight="15" x14ac:dyDescent="0.25"/>
  <cols>
    <col min="1" max="1" width="9.28515625" style="53" bestFit="1" customWidth="1"/>
    <col min="2" max="2" width="9.7109375" style="53" customWidth="1"/>
    <col min="3" max="3" width="11.7109375" style="53" customWidth="1"/>
    <col min="4" max="4" width="7.7109375" style="53" customWidth="1"/>
    <col min="5" max="5" width="13.42578125" style="53" customWidth="1"/>
    <col min="6" max="6" width="14" style="53" customWidth="1"/>
    <col min="7" max="7" width="8.5703125" style="53" customWidth="1"/>
    <col min="8" max="8" width="18.5703125" style="53" customWidth="1"/>
    <col min="9" max="9" width="12" style="53" customWidth="1"/>
    <col min="10" max="10" width="22.28515625" style="53" customWidth="1"/>
    <col min="11" max="11" width="9.5703125" style="53" bestFit="1" customWidth="1"/>
    <col min="12" max="12" width="12.85546875" style="53" bestFit="1" customWidth="1"/>
    <col min="13" max="13" width="10.5703125" style="53" bestFit="1" customWidth="1"/>
    <col min="14" max="14" width="9.28515625" style="53" bestFit="1" customWidth="1"/>
    <col min="15" max="15" width="11.85546875" style="53" bestFit="1" customWidth="1"/>
    <col min="16" max="16" width="9.28515625" style="53" bestFit="1" customWidth="1"/>
    <col min="17" max="17" width="9.140625" style="53" customWidth="1"/>
    <col min="18" max="19" width="9.28515625" style="53" bestFit="1" customWidth="1"/>
    <col min="20" max="20" width="12.5703125" style="53" bestFit="1" customWidth="1"/>
    <col min="21" max="21" width="9.28515625" style="53" bestFit="1" customWidth="1"/>
    <col min="22" max="22" width="11.5703125" style="53" bestFit="1" customWidth="1"/>
    <col min="23" max="26" width="9.28515625" style="53" bestFit="1" customWidth="1"/>
    <col min="27" max="16384" width="9.140625" style="53"/>
  </cols>
  <sheetData>
    <row r="1" spans="1:16" s="80" customFormat="1" ht="15.6" customHeight="1" x14ac:dyDescent="0.25">
      <c r="A1" s="81" t="s">
        <v>943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6" s="69" customFormat="1" x14ac:dyDescent="0.25">
      <c r="A2" s="496" t="s">
        <v>944</v>
      </c>
      <c r="B2" s="496"/>
      <c r="C2" s="496"/>
      <c r="D2" s="496"/>
      <c r="E2" s="496"/>
      <c r="F2" s="496"/>
      <c r="G2" s="496"/>
    </row>
    <row r="3" spans="1:16" s="69" customFormat="1" ht="55.5" customHeight="1" x14ac:dyDescent="0.25">
      <c r="A3" s="432" t="s">
        <v>138</v>
      </c>
      <c r="B3" s="432"/>
      <c r="C3" s="432" t="s">
        <v>331</v>
      </c>
      <c r="D3" s="432" t="s">
        <v>332</v>
      </c>
      <c r="E3" s="432" t="s">
        <v>142</v>
      </c>
      <c r="F3" s="432"/>
      <c r="G3" s="432" t="s">
        <v>9</v>
      </c>
      <c r="H3" s="432" t="s">
        <v>448</v>
      </c>
      <c r="I3" s="432" t="s">
        <v>449</v>
      </c>
      <c r="J3" s="432" t="s">
        <v>450</v>
      </c>
      <c r="K3" s="15"/>
      <c r="L3" s="15"/>
      <c r="M3" s="15"/>
      <c r="N3" s="15"/>
      <c r="O3" s="15"/>
      <c r="P3" s="68"/>
    </row>
    <row r="4" spans="1:16" s="69" customFormat="1" x14ac:dyDescent="0.25">
      <c r="A4" s="432"/>
      <c r="B4" s="432"/>
      <c r="C4" s="432"/>
      <c r="D4" s="432"/>
      <c r="E4" s="63" t="s">
        <v>447</v>
      </c>
      <c r="F4" s="63" t="s">
        <v>19</v>
      </c>
      <c r="G4" s="432"/>
      <c r="H4" s="432"/>
      <c r="I4" s="432"/>
      <c r="J4" s="432"/>
      <c r="K4" s="15"/>
      <c r="L4" s="15"/>
      <c r="M4" s="15"/>
      <c r="N4" s="16"/>
      <c r="O4" s="16"/>
      <c r="P4" s="68"/>
    </row>
    <row r="5" spans="1:16" s="69" customFormat="1" x14ac:dyDescent="0.25">
      <c r="A5" s="432">
        <v>1</v>
      </c>
      <c r="B5" s="432"/>
      <c r="C5" s="63">
        <v>2</v>
      </c>
      <c r="D5" s="64">
        <v>3</v>
      </c>
      <c r="E5" s="63">
        <v>4</v>
      </c>
      <c r="F5" s="63">
        <v>5</v>
      </c>
      <c r="G5" s="63">
        <v>6</v>
      </c>
      <c r="H5" s="63">
        <v>7</v>
      </c>
      <c r="I5" s="63">
        <v>8</v>
      </c>
      <c r="J5" s="63">
        <v>9</v>
      </c>
      <c r="K5" s="15"/>
      <c r="L5" s="15"/>
      <c r="M5" s="15"/>
      <c r="N5" s="15"/>
      <c r="O5" s="15"/>
      <c r="P5" s="68"/>
    </row>
    <row r="6" spans="1:16" s="69" customFormat="1" ht="40.5" customHeight="1" x14ac:dyDescent="0.25">
      <c r="A6" s="432" t="s">
        <v>326</v>
      </c>
      <c r="B6" s="432"/>
      <c r="C6" s="63" t="s">
        <v>21</v>
      </c>
      <c r="D6" s="63" t="s">
        <v>21</v>
      </c>
      <c r="E6" s="63" t="s">
        <v>21</v>
      </c>
      <c r="F6" s="63"/>
      <c r="G6" s="63">
        <v>1000</v>
      </c>
      <c r="H6" s="63"/>
      <c r="I6" s="63"/>
      <c r="J6" s="63"/>
      <c r="K6" s="15"/>
      <c r="L6" s="15"/>
      <c r="M6" s="15"/>
      <c r="N6" s="15"/>
      <c r="O6" s="15"/>
      <c r="P6" s="68"/>
    </row>
    <row r="7" spans="1:16" s="69" customFormat="1" x14ac:dyDescent="0.25">
      <c r="A7" s="432" t="s">
        <v>54</v>
      </c>
      <c r="B7" s="432"/>
      <c r="C7" s="63"/>
      <c r="D7" s="63"/>
      <c r="E7" s="63"/>
      <c r="F7" s="63"/>
      <c r="G7" s="63">
        <v>1001</v>
      </c>
      <c r="H7" s="63"/>
      <c r="I7" s="63"/>
      <c r="J7" s="63"/>
      <c r="K7" s="15"/>
      <c r="L7" s="15"/>
      <c r="M7" s="15"/>
      <c r="N7" s="15"/>
      <c r="O7" s="15"/>
      <c r="P7" s="68"/>
    </row>
    <row r="8" spans="1:16" s="69" customFormat="1" x14ac:dyDescent="0.25">
      <c r="A8" s="493"/>
      <c r="B8" s="493"/>
      <c r="C8" s="63"/>
      <c r="D8" s="63"/>
      <c r="E8" s="63"/>
      <c r="F8" s="63"/>
      <c r="G8" s="63"/>
      <c r="H8" s="63"/>
      <c r="I8" s="63"/>
      <c r="J8" s="63"/>
      <c r="K8" s="15"/>
      <c r="L8" s="15"/>
      <c r="M8" s="15"/>
      <c r="N8" s="15"/>
      <c r="O8" s="15"/>
      <c r="P8" s="68"/>
    </row>
    <row r="9" spans="1:16" s="69" customFormat="1" ht="42" customHeight="1" x14ac:dyDescent="0.25">
      <c r="A9" s="432" t="s">
        <v>327</v>
      </c>
      <c r="B9" s="432"/>
      <c r="C9" s="63" t="s">
        <v>21</v>
      </c>
      <c r="D9" s="63" t="s">
        <v>21</v>
      </c>
      <c r="E9" s="63" t="s">
        <v>21</v>
      </c>
      <c r="F9" s="63"/>
      <c r="G9" s="63">
        <v>2000</v>
      </c>
      <c r="H9" s="63"/>
      <c r="I9" s="63"/>
      <c r="J9" s="63"/>
      <c r="K9" s="15"/>
      <c r="L9" s="15"/>
      <c r="M9" s="15"/>
      <c r="N9" s="15"/>
      <c r="O9" s="15"/>
      <c r="P9" s="68"/>
    </row>
    <row r="10" spans="1:16" s="69" customFormat="1" x14ac:dyDescent="0.25">
      <c r="A10" s="400" t="s">
        <v>54</v>
      </c>
      <c r="B10" s="400"/>
      <c r="C10" s="61"/>
      <c r="D10" s="61"/>
      <c r="E10" s="61"/>
      <c r="F10" s="61"/>
      <c r="G10" s="61">
        <v>2001</v>
      </c>
      <c r="H10" s="61"/>
      <c r="I10" s="61"/>
      <c r="J10" s="61"/>
      <c r="K10" s="68"/>
      <c r="L10" s="68"/>
      <c r="M10" s="68"/>
      <c r="N10" s="68"/>
      <c r="O10" s="68"/>
      <c r="P10" s="68"/>
    </row>
    <row r="11" spans="1:16" s="69" customFormat="1" x14ac:dyDescent="0.25">
      <c r="A11" s="493"/>
      <c r="B11" s="493"/>
      <c r="C11" s="61"/>
      <c r="D11" s="61"/>
      <c r="E11" s="61"/>
      <c r="F11" s="61"/>
      <c r="G11" s="61"/>
      <c r="H11" s="61"/>
      <c r="I11" s="61"/>
      <c r="J11" s="61"/>
      <c r="K11" s="68"/>
      <c r="L11" s="68"/>
      <c r="M11" s="68"/>
      <c r="N11" s="68"/>
      <c r="O11" s="68"/>
      <c r="P11" s="68"/>
    </row>
    <row r="12" spans="1:16" s="69" customFormat="1" ht="51" customHeight="1" x14ac:dyDescent="0.25">
      <c r="A12" s="400" t="s">
        <v>147</v>
      </c>
      <c r="B12" s="400"/>
      <c r="C12" s="61" t="s">
        <v>21</v>
      </c>
      <c r="D12" s="61" t="s">
        <v>21</v>
      </c>
      <c r="E12" s="61" t="s">
        <v>21</v>
      </c>
      <c r="F12" s="61"/>
      <c r="G12" s="61">
        <v>3000</v>
      </c>
      <c r="H12" s="61"/>
      <c r="I12" s="61"/>
      <c r="J12" s="61"/>
      <c r="K12" s="68"/>
      <c r="L12" s="68"/>
      <c r="M12" s="68"/>
      <c r="N12" s="68"/>
      <c r="O12" s="68"/>
      <c r="P12" s="68"/>
    </row>
    <row r="13" spans="1:16" s="69" customFormat="1" x14ac:dyDescent="0.25">
      <c r="A13" s="400" t="s">
        <v>54</v>
      </c>
      <c r="B13" s="400"/>
      <c r="C13" s="61"/>
      <c r="D13" s="61"/>
      <c r="E13" s="61"/>
      <c r="F13" s="61"/>
      <c r="G13" s="61">
        <v>3001</v>
      </c>
      <c r="H13" s="61"/>
      <c r="I13" s="61"/>
      <c r="J13" s="61"/>
      <c r="K13" s="68"/>
      <c r="L13" s="68"/>
      <c r="M13" s="68"/>
      <c r="N13" s="68"/>
      <c r="O13" s="68"/>
      <c r="P13" s="68"/>
    </row>
    <row r="14" spans="1:16" s="69" customFormat="1" x14ac:dyDescent="0.25">
      <c r="A14" s="431"/>
      <c r="B14" s="431"/>
      <c r="C14" s="61"/>
      <c r="D14" s="61"/>
      <c r="E14" s="61"/>
      <c r="F14" s="61"/>
      <c r="G14" s="61"/>
      <c r="H14" s="61"/>
      <c r="I14" s="61"/>
      <c r="J14" s="61"/>
      <c r="K14" s="68"/>
      <c r="L14" s="68"/>
      <c r="M14" s="68"/>
      <c r="N14" s="68"/>
      <c r="O14" s="68"/>
      <c r="P14" s="68"/>
    </row>
    <row r="15" spans="1:16" s="69" customFormat="1" ht="39.75" customHeight="1" x14ac:dyDescent="0.25">
      <c r="A15" s="400" t="s">
        <v>148</v>
      </c>
      <c r="B15" s="400"/>
      <c r="C15" s="61" t="s">
        <v>21</v>
      </c>
      <c r="D15" s="61" t="s">
        <v>21</v>
      </c>
      <c r="E15" s="61" t="s">
        <v>21</v>
      </c>
      <c r="F15" s="61"/>
      <c r="G15" s="61">
        <v>4000</v>
      </c>
      <c r="H15" s="61"/>
      <c r="I15" s="61"/>
      <c r="J15" s="61"/>
      <c r="K15" s="68"/>
      <c r="L15" s="68"/>
      <c r="M15" s="68"/>
      <c r="N15" s="68"/>
      <c r="O15" s="68"/>
      <c r="P15" s="68"/>
    </row>
    <row r="16" spans="1:16" s="69" customFormat="1" x14ac:dyDescent="0.25">
      <c r="A16" s="400" t="s">
        <v>54</v>
      </c>
      <c r="B16" s="400"/>
      <c r="C16" s="61"/>
      <c r="D16" s="61"/>
      <c r="E16" s="61"/>
      <c r="F16" s="61"/>
      <c r="G16" s="61">
        <v>4001</v>
      </c>
      <c r="H16" s="61"/>
      <c r="I16" s="61"/>
      <c r="J16" s="61"/>
      <c r="K16" s="68"/>
      <c r="L16" s="68"/>
      <c r="M16" s="68"/>
      <c r="N16" s="68"/>
      <c r="O16" s="68"/>
      <c r="P16" s="68"/>
    </row>
    <row r="17" spans="1:16" s="69" customFormat="1" x14ac:dyDescent="0.25">
      <c r="A17" s="431"/>
      <c r="B17" s="431"/>
      <c r="C17" s="61"/>
      <c r="D17" s="61"/>
      <c r="E17" s="61"/>
      <c r="F17" s="61"/>
      <c r="G17" s="61"/>
      <c r="H17" s="61"/>
      <c r="I17" s="61"/>
      <c r="J17" s="61"/>
      <c r="K17" s="68"/>
      <c r="L17" s="68"/>
      <c r="M17" s="68"/>
      <c r="N17" s="68"/>
      <c r="O17" s="68"/>
      <c r="P17" s="68"/>
    </row>
    <row r="18" spans="1:16" s="69" customFormat="1" ht="41.25" customHeight="1" x14ac:dyDescent="0.25">
      <c r="A18" s="400" t="s">
        <v>149</v>
      </c>
      <c r="B18" s="400"/>
      <c r="C18" s="61" t="s">
        <v>21</v>
      </c>
      <c r="D18" s="61" t="s">
        <v>21</v>
      </c>
      <c r="E18" s="61" t="s">
        <v>21</v>
      </c>
      <c r="F18" s="61"/>
      <c r="G18" s="61">
        <v>5000</v>
      </c>
      <c r="H18" s="61"/>
      <c r="I18" s="61"/>
      <c r="J18" s="61"/>
      <c r="K18" s="68"/>
      <c r="L18" s="68"/>
      <c r="M18" s="68"/>
      <c r="N18" s="68"/>
      <c r="O18" s="68"/>
      <c r="P18" s="68"/>
    </row>
    <row r="19" spans="1:16" s="69" customFormat="1" x14ac:dyDescent="0.25">
      <c r="A19" s="400" t="s">
        <v>54</v>
      </c>
      <c r="B19" s="400"/>
      <c r="C19" s="61"/>
      <c r="D19" s="61"/>
      <c r="E19" s="61"/>
      <c r="F19" s="61"/>
      <c r="G19" s="61">
        <v>5001</v>
      </c>
      <c r="H19" s="61"/>
      <c r="I19" s="61"/>
      <c r="J19" s="61"/>
      <c r="K19" s="68"/>
      <c r="L19" s="68"/>
      <c r="M19" s="68"/>
      <c r="N19" s="68"/>
      <c r="O19" s="68"/>
      <c r="P19" s="68"/>
    </row>
    <row r="20" spans="1:16" s="69" customFormat="1" x14ac:dyDescent="0.25">
      <c r="A20" s="431"/>
      <c r="B20" s="431"/>
      <c r="C20" s="61"/>
      <c r="D20" s="61"/>
      <c r="E20" s="61"/>
      <c r="F20" s="61"/>
      <c r="G20" s="61"/>
      <c r="H20" s="61"/>
      <c r="I20" s="61"/>
      <c r="J20" s="61"/>
      <c r="K20" s="68"/>
      <c r="L20" s="68" t="s">
        <v>455</v>
      </c>
      <c r="M20" s="68"/>
      <c r="N20" s="68"/>
      <c r="O20" s="68"/>
      <c r="P20" s="68"/>
    </row>
    <row r="21" spans="1:16" s="69" customFormat="1" ht="16.149999999999999" customHeight="1" x14ac:dyDescent="0.25">
      <c r="A21" s="400" t="s">
        <v>20</v>
      </c>
      <c r="B21" s="400"/>
      <c r="C21" s="400"/>
      <c r="D21" s="400"/>
      <c r="E21" s="400"/>
      <c r="F21" s="61"/>
      <c r="G21" s="61">
        <v>9000</v>
      </c>
      <c r="H21" s="61"/>
      <c r="I21" s="61"/>
      <c r="J21" s="61"/>
      <c r="K21" s="68"/>
      <c r="L21" s="58"/>
      <c r="M21" s="68"/>
      <c r="N21" s="68"/>
      <c r="O21" s="68"/>
      <c r="P21" s="68"/>
    </row>
    <row r="22" spans="1:16" s="69" customFormat="1" x14ac:dyDescent="0.25">
      <c r="D22" s="65"/>
    </row>
    <row r="23" spans="1:16" s="69" customFormat="1" x14ac:dyDescent="0.25">
      <c r="D23" s="65"/>
    </row>
    <row r="24" spans="1:16" s="69" customFormat="1" ht="13.5" customHeight="1" x14ac:dyDescent="0.25">
      <c r="A24" s="463" t="s">
        <v>22</v>
      </c>
      <c r="B24" s="463"/>
      <c r="C24" s="463"/>
      <c r="D24" s="463"/>
      <c r="E24" s="530" t="s">
        <v>1485</v>
      </c>
      <c r="F24" s="530"/>
      <c r="H24" s="68"/>
      <c r="J24" s="528" t="s">
        <v>945</v>
      </c>
    </row>
    <row r="25" spans="1:16" s="69" customFormat="1" ht="17.25" customHeight="1" x14ac:dyDescent="0.25">
      <c r="A25" s="463" t="s">
        <v>23</v>
      </c>
      <c r="B25" s="463"/>
      <c r="C25" s="463"/>
      <c r="D25" s="463"/>
      <c r="E25" s="531"/>
      <c r="F25" s="531"/>
      <c r="H25" s="60"/>
      <c r="J25" s="529"/>
    </row>
    <row r="26" spans="1:16" s="51" customFormat="1" ht="11.25" x14ac:dyDescent="0.25">
      <c r="D26" s="52"/>
      <c r="E26" s="532" t="s">
        <v>24</v>
      </c>
      <c r="F26" s="532"/>
      <c r="H26" s="93" t="s">
        <v>25</v>
      </c>
      <c r="J26" s="93" t="s">
        <v>26</v>
      </c>
    </row>
    <row r="27" spans="1:16" s="69" customFormat="1" x14ac:dyDescent="0.25">
      <c r="A27" s="463" t="s">
        <v>27</v>
      </c>
      <c r="B27" s="463"/>
      <c r="C27" s="463"/>
      <c r="D27" s="463"/>
      <c r="E27" s="530" t="s">
        <v>1485</v>
      </c>
      <c r="F27" s="530"/>
      <c r="H27" s="60"/>
      <c r="J27" s="95" t="s">
        <v>945</v>
      </c>
    </row>
    <row r="28" spans="1:16" s="51" customFormat="1" ht="11.25" customHeight="1" x14ac:dyDescent="0.25">
      <c r="D28" s="52"/>
      <c r="E28" s="531"/>
      <c r="F28" s="531"/>
      <c r="H28" s="93" t="s">
        <v>25</v>
      </c>
      <c r="J28" s="93" t="s">
        <v>26</v>
      </c>
    </row>
    <row r="29" spans="1:16" s="69" customFormat="1" x14ac:dyDescent="0.25">
      <c r="A29" s="463" t="s">
        <v>29</v>
      </c>
      <c r="B29" s="463"/>
      <c r="C29" s="463"/>
      <c r="D29" s="463"/>
      <c r="E29" s="494"/>
      <c r="F29" s="494"/>
      <c r="G29" s="494"/>
      <c r="H29" s="494"/>
      <c r="I29" s="494"/>
    </row>
    <row r="30" spans="1:16" s="69" customFormat="1" x14ac:dyDescent="0.25">
      <c r="D30" s="65"/>
    </row>
    <row r="31" spans="1:16" s="69" customFormat="1" x14ac:dyDescent="0.25">
      <c r="A31" s="464" t="s">
        <v>37</v>
      </c>
      <c r="B31" s="464"/>
      <c r="C31" s="464"/>
      <c r="D31" s="464"/>
      <c r="J31" s="93" t="s">
        <v>28</v>
      </c>
    </row>
    <row r="32" spans="1:16" s="69" customFormat="1" ht="28.5" customHeight="1" x14ac:dyDescent="0.25">
      <c r="A32" s="471" t="s">
        <v>333</v>
      </c>
      <c r="B32" s="471"/>
      <c r="C32" s="471"/>
      <c r="D32" s="471"/>
      <c r="E32" s="471"/>
      <c r="F32" s="471"/>
      <c r="G32" s="471"/>
      <c r="H32" s="471"/>
      <c r="I32" s="471"/>
      <c r="J32" s="471"/>
      <c r="K32" s="92"/>
      <c r="L32" s="92"/>
      <c r="M32" s="92"/>
      <c r="N32" s="92"/>
      <c r="O32" s="92"/>
      <c r="P32" s="92"/>
    </row>
    <row r="33" spans="1:16" s="69" customFormat="1" ht="91.5" customHeight="1" x14ac:dyDescent="0.25">
      <c r="A33" s="463" t="s">
        <v>334</v>
      </c>
      <c r="B33" s="463"/>
      <c r="C33" s="463"/>
      <c r="D33" s="463"/>
      <c r="E33" s="463"/>
      <c r="F33" s="463"/>
      <c r="G33" s="463"/>
      <c r="H33" s="463"/>
      <c r="I33" s="463"/>
      <c r="J33" s="463"/>
      <c r="K33" s="70"/>
      <c r="L33" s="70"/>
      <c r="M33" s="70"/>
      <c r="N33" s="70"/>
      <c r="O33" s="70"/>
      <c r="P33" s="70"/>
    </row>
    <row r="34" spans="1:16" s="69" customFormat="1" ht="118.5" customHeight="1" x14ac:dyDescent="0.25">
      <c r="A34" s="463" t="s">
        <v>335</v>
      </c>
      <c r="B34" s="463"/>
      <c r="C34" s="463"/>
      <c r="D34" s="463"/>
      <c r="E34" s="463"/>
      <c r="F34" s="463"/>
      <c r="G34" s="463"/>
      <c r="H34" s="463"/>
      <c r="I34" s="463"/>
      <c r="J34" s="463"/>
      <c r="K34" s="70"/>
      <c r="L34" s="70"/>
      <c r="M34" s="70"/>
      <c r="N34" s="70"/>
      <c r="O34" s="70"/>
      <c r="P34" s="70"/>
    </row>
    <row r="35" spans="1:16" s="69" customFormat="1" x14ac:dyDescent="0.25">
      <c r="A35" s="463" t="s">
        <v>336</v>
      </c>
      <c r="B35" s="463"/>
      <c r="C35" s="463"/>
      <c r="D35" s="463"/>
      <c r="E35" s="463"/>
      <c r="F35" s="463"/>
      <c r="G35" s="463"/>
      <c r="H35" s="463"/>
      <c r="I35" s="463"/>
      <c r="J35" s="463"/>
      <c r="K35" s="70"/>
      <c r="L35" s="70"/>
      <c r="M35" s="70"/>
      <c r="N35" s="70"/>
      <c r="O35" s="70"/>
      <c r="P35" s="70"/>
    </row>
    <row r="36" spans="1:16" x14ac:dyDescent="0.25">
      <c r="D36" s="57"/>
    </row>
    <row r="37" spans="1:16" x14ac:dyDescent="0.25">
      <c r="D37" s="57"/>
    </row>
    <row r="38" spans="1:16" x14ac:dyDescent="0.25">
      <c r="D38" s="57"/>
    </row>
  </sheetData>
  <mergeCells count="40">
    <mergeCell ref="A9:B9"/>
    <mergeCell ref="A2:G2"/>
    <mergeCell ref="A3:B4"/>
    <mergeCell ref="C3:C4"/>
    <mergeCell ref="D3:D4"/>
    <mergeCell ref="E3:F3"/>
    <mergeCell ref="G3:G4"/>
    <mergeCell ref="J3:J4"/>
    <mergeCell ref="A5:B5"/>
    <mergeCell ref="A6:B6"/>
    <mergeCell ref="A7:B7"/>
    <mergeCell ref="A8:B8"/>
    <mergeCell ref="H3:H4"/>
    <mergeCell ref="I3:I4"/>
    <mergeCell ref="A21:E21"/>
    <mergeCell ref="A10:B10"/>
    <mergeCell ref="A12:B12"/>
    <mergeCell ref="A13:B13"/>
    <mergeCell ref="A14:B14"/>
    <mergeCell ref="A15:B15"/>
    <mergeCell ref="A11:B11"/>
    <mergeCell ref="A16:B16"/>
    <mergeCell ref="A17:B17"/>
    <mergeCell ref="A18:B18"/>
    <mergeCell ref="A19:B19"/>
    <mergeCell ref="A20:B20"/>
    <mergeCell ref="A35:J35"/>
    <mergeCell ref="A29:D29"/>
    <mergeCell ref="E29:I29"/>
    <mergeCell ref="A31:D31"/>
    <mergeCell ref="E26:F26"/>
    <mergeCell ref="A27:D27"/>
    <mergeCell ref="E27:F28"/>
    <mergeCell ref="J24:J25"/>
    <mergeCell ref="A32:J32"/>
    <mergeCell ref="A33:J33"/>
    <mergeCell ref="A34:J34"/>
    <mergeCell ref="A24:D24"/>
    <mergeCell ref="A25:D25"/>
    <mergeCell ref="E24:F25"/>
  </mergeCells>
  <pageMargins left="0.39370078740157483" right="0.39370078740157483" top="0.78740157480314965" bottom="0.39370078740157483" header="0.31496062992125984" footer="0.31496062992125984"/>
  <pageSetup paperSize="9" scale="96" firstPageNumber="12" fitToWidth="2" fitToHeight="200" orientation="landscape" useFirstPageNumber="1" r:id="rId1"/>
  <rowBreaks count="1" manualBreakCount="1">
    <brk id="17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 summaryRight="0"/>
    <pageSetUpPr autoPageBreaks="0"/>
  </sheetPr>
  <dimension ref="A1:AL232"/>
  <sheetViews>
    <sheetView zoomScaleNormal="100" workbookViewId="0">
      <pane xSplit="2" ySplit="1" topLeftCell="I218" activePane="bottomRight" state="frozen"/>
      <selection pane="topRight" activeCell="C1" sqref="C1"/>
      <selection pane="bottomLeft" activeCell="A2" sqref="A2"/>
      <selection pane="bottomRight" activeCell="R229" sqref="R229:R232"/>
    </sheetView>
  </sheetViews>
  <sheetFormatPr defaultColWidth="9.140625" defaultRowHeight="11.25" x14ac:dyDescent="0.25"/>
  <cols>
    <col min="1" max="1" width="9.140625" style="200"/>
    <col min="2" max="2" width="32.85546875" style="200" customWidth="1"/>
    <col min="3" max="3" width="24.28515625" style="200" customWidth="1"/>
    <col min="4" max="4" width="22.28515625" style="204" customWidth="1"/>
    <col min="5" max="5" width="23.42578125" style="200" bestFit="1" customWidth="1"/>
    <col min="6" max="6" width="11.28515625" style="200" customWidth="1"/>
    <col min="7" max="7" width="43.5703125" style="200" customWidth="1"/>
    <col min="8" max="9" width="21.7109375" style="200" customWidth="1"/>
    <col min="10" max="10" width="18" style="200" customWidth="1"/>
    <col min="11" max="11" width="10" style="200" customWidth="1"/>
    <col min="12" max="12" width="32" style="200" customWidth="1"/>
    <col min="13" max="13" width="12.28515625" style="200" customWidth="1"/>
    <col min="14" max="14" width="20" style="200" customWidth="1"/>
    <col min="15" max="15" width="11.7109375" style="200" customWidth="1"/>
    <col min="16" max="16" width="12" style="200" customWidth="1"/>
    <col min="17" max="17" width="8.5703125" style="200" customWidth="1"/>
    <col min="18" max="19" width="18.42578125" style="200" customWidth="1"/>
    <col min="20" max="20" width="8.5703125" style="205" customWidth="1"/>
    <col min="21" max="21" width="18.42578125" style="200" customWidth="1"/>
    <col min="22" max="22" width="15.5703125" style="200" customWidth="1"/>
    <col min="23" max="24" width="15.85546875" style="200" customWidth="1"/>
    <col min="25" max="33" width="12.7109375" style="200" customWidth="1"/>
    <col min="34" max="34" width="14.7109375" style="200" customWidth="1"/>
    <col min="35" max="36" width="12.7109375" style="200" customWidth="1"/>
    <col min="37" max="37" width="12.5703125" style="200" bestFit="1" customWidth="1"/>
    <col min="38" max="38" width="14" style="200" customWidth="1"/>
    <col min="39" max="261" width="9.140625" style="200"/>
    <col min="262" max="262" width="11.28515625" style="200" customWidth="1"/>
    <col min="263" max="263" width="0.7109375" style="200" customWidth="1"/>
    <col min="264" max="264" width="27.5703125" style="200" customWidth="1"/>
    <col min="265" max="265" width="28.5703125" style="200" customWidth="1"/>
    <col min="266" max="266" width="7.85546875" style="200" customWidth="1"/>
    <col min="267" max="268" width="18" style="200" customWidth="1"/>
    <col min="269" max="269" width="10" style="200" customWidth="1"/>
    <col min="270" max="270" width="32" style="200" customWidth="1"/>
    <col min="271" max="271" width="12.28515625" style="200" customWidth="1"/>
    <col min="272" max="272" width="20" style="200" customWidth="1"/>
    <col min="273" max="273" width="11.7109375" style="200" customWidth="1"/>
    <col min="274" max="274" width="12" style="200" customWidth="1"/>
    <col min="275" max="275" width="8.5703125" style="200" customWidth="1"/>
    <col min="276" max="276" width="18.42578125" style="200" customWidth="1"/>
    <col min="277" max="277" width="8.5703125" style="200" customWidth="1"/>
    <col min="278" max="279" width="18.42578125" style="200" customWidth="1"/>
    <col min="280" max="517" width="9.140625" style="200"/>
    <col min="518" max="518" width="11.28515625" style="200" customWidth="1"/>
    <col min="519" max="519" width="0.7109375" style="200" customWidth="1"/>
    <col min="520" max="520" width="27.5703125" style="200" customWidth="1"/>
    <col min="521" max="521" width="28.5703125" style="200" customWidth="1"/>
    <col min="522" max="522" width="7.85546875" style="200" customWidth="1"/>
    <col min="523" max="524" width="18" style="200" customWidth="1"/>
    <col min="525" max="525" width="10" style="200" customWidth="1"/>
    <col min="526" max="526" width="32" style="200" customWidth="1"/>
    <col min="527" max="527" width="12.28515625" style="200" customWidth="1"/>
    <col min="528" max="528" width="20" style="200" customWidth="1"/>
    <col min="529" max="529" width="11.7109375" style="200" customWidth="1"/>
    <col min="530" max="530" width="12" style="200" customWidth="1"/>
    <col min="531" max="531" width="8.5703125" style="200" customWidth="1"/>
    <col min="532" max="532" width="18.42578125" style="200" customWidth="1"/>
    <col min="533" max="533" width="8.5703125" style="200" customWidth="1"/>
    <col min="534" max="535" width="18.42578125" style="200" customWidth="1"/>
    <col min="536" max="773" width="9.140625" style="200"/>
    <col min="774" max="774" width="11.28515625" style="200" customWidth="1"/>
    <col min="775" max="775" width="0.7109375" style="200" customWidth="1"/>
    <col min="776" max="776" width="27.5703125" style="200" customWidth="1"/>
    <col min="777" max="777" width="28.5703125" style="200" customWidth="1"/>
    <col min="778" max="778" width="7.85546875" style="200" customWidth="1"/>
    <col min="779" max="780" width="18" style="200" customWidth="1"/>
    <col min="781" max="781" width="10" style="200" customWidth="1"/>
    <col min="782" max="782" width="32" style="200" customWidth="1"/>
    <col min="783" max="783" width="12.28515625" style="200" customWidth="1"/>
    <col min="784" max="784" width="20" style="200" customWidth="1"/>
    <col min="785" max="785" width="11.7109375" style="200" customWidth="1"/>
    <col min="786" max="786" width="12" style="200" customWidth="1"/>
    <col min="787" max="787" width="8.5703125" style="200" customWidth="1"/>
    <col min="788" max="788" width="18.42578125" style="200" customWidth="1"/>
    <col min="789" max="789" width="8.5703125" style="200" customWidth="1"/>
    <col min="790" max="791" width="18.42578125" style="200" customWidth="1"/>
    <col min="792" max="1029" width="9.140625" style="200"/>
    <col min="1030" max="1030" width="11.28515625" style="200" customWidth="1"/>
    <col min="1031" max="1031" width="0.7109375" style="200" customWidth="1"/>
    <col min="1032" max="1032" width="27.5703125" style="200" customWidth="1"/>
    <col min="1033" max="1033" width="28.5703125" style="200" customWidth="1"/>
    <col min="1034" max="1034" width="7.85546875" style="200" customWidth="1"/>
    <col min="1035" max="1036" width="18" style="200" customWidth="1"/>
    <col min="1037" max="1037" width="10" style="200" customWidth="1"/>
    <col min="1038" max="1038" width="32" style="200" customWidth="1"/>
    <col min="1039" max="1039" width="12.28515625" style="200" customWidth="1"/>
    <col min="1040" max="1040" width="20" style="200" customWidth="1"/>
    <col min="1041" max="1041" width="11.7109375" style="200" customWidth="1"/>
    <col min="1042" max="1042" width="12" style="200" customWidth="1"/>
    <col min="1043" max="1043" width="8.5703125" style="200" customWidth="1"/>
    <col min="1044" max="1044" width="18.42578125" style="200" customWidth="1"/>
    <col min="1045" max="1045" width="8.5703125" style="200" customWidth="1"/>
    <col min="1046" max="1047" width="18.42578125" style="200" customWidth="1"/>
    <col min="1048" max="1285" width="9.140625" style="200"/>
    <col min="1286" max="1286" width="11.28515625" style="200" customWidth="1"/>
    <col min="1287" max="1287" width="0.7109375" style="200" customWidth="1"/>
    <col min="1288" max="1288" width="27.5703125" style="200" customWidth="1"/>
    <col min="1289" max="1289" width="28.5703125" style="200" customWidth="1"/>
    <col min="1290" max="1290" width="7.85546875" style="200" customWidth="1"/>
    <col min="1291" max="1292" width="18" style="200" customWidth="1"/>
    <col min="1293" max="1293" width="10" style="200" customWidth="1"/>
    <col min="1294" max="1294" width="32" style="200" customWidth="1"/>
    <col min="1295" max="1295" width="12.28515625" style="200" customWidth="1"/>
    <col min="1296" max="1296" width="20" style="200" customWidth="1"/>
    <col min="1297" max="1297" width="11.7109375" style="200" customWidth="1"/>
    <col min="1298" max="1298" width="12" style="200" customWidth="1"/>
    <col min="1299" max="1299" width="8.5703125" style="200" customWidth="1"/>
    <col min="1300" max="1300" width="18.42578125" style="200" customWidth="1"/>
    <col min="1301" max="1301" width="8.5703125" style="200" customWidth="1"/>
    <col min="1302" max="1303" width="18.42578125" style="200" customWidth="1"/>
    <col min="1304" max="1541" width="9.140625" style="200"/>
    <col min="1542" max="1542" width="11.28515625" style="200" customWidth="1"/>
    <col min="1543" max="1543" width="0.7109375" style="200" customWidth="1"/>
    <col min="1544" max="1544" width="27.5703125" style="200" customWidth="1"/>
    <col min="1545" max="1545" width="28.5703125" style="200" customWidth="1"/>
    <col min="1546" max="1546" width="7.85546875" style="200" customWidth="1"/>
    <col min="1547" max="1548" width="18" style="200" customWidth="1"/>
    <col min="1549" max="1549" width="10" style="200" customWidth="1"/>
    <col min="1550" max="1550" width="32" style="200" customWidth="1"/>
    <col min="1551" max="1551" width="12.28515625" style="200" customWidth="1"/>
    <col min="1552" max="1552" width="20" style="200" customWidth="1"/>
    <col min="1553" max="1553" width="11.7109375" style="200" customWidth="1"/>
    <col min="1554" max="1554" width="12" style="200" customWidth="1"/>
    <col min="1555" max="1555" width="8.5703125" style="200" customWidth="1"/>
    <col min="1556" max="1556" width="18.42578125" style="200" customWidth="1"/>
    <col min="1557" max="1557" width="8.5703125" style="200" customWidth="1"/>
    <col min="1558" max="1559" width="18.42578125" style="200" customWidth="1"/>
    <col min="1560" max="1797" width="9.140625" style="200"/>
    <col min="1798" max="1798" width="11.28515625" style="200" customWidth="1"/>
    <col min="1799" max="1799" width="0.7109375" style="200" customWidth="1"/>
    <col min="1800" max="1800" width="27.5703125" style="200" customWidth="1"/>
    <col min="1801" max="1801" width="28.5703125" style="200" customWidth="1"/>
    <col min="1802" max="1802" width="7.85546875" style="200" customWidth="1"/>
    <col min="1803" max="1804" width="18" style="200" customWidth="1"/>
    <col min="1805" max="1805" width="10" style="200" customWidth="1"/>
    <col min="1806" max="1806" width="32" style="200" customWidth="1"/>
    <col min="1807" max="1807" width="12.28515625" style="200" customWidth="1"/>
    <col min="1808" max="1808" width="20" style="200" customWidth="1"/>
    <col min="1809" max="1809" width="11.7109375" style="200" customWidth="1"/>
    <col min="1810" max="1810" width="12" style="200" customWidth="1"/>
    <col min="1811" max="1811" width="8.5703125" style="200" customWidth="1"/>
    <col min="1812" max="1812" width="18.42578125" style="200" customWidth="1"/>
    <col min="1813" max="1813" width="8.5703125" style="200" customWidth="1"/>
    <col min="1814" max="1815" width="18.42578125" style="200" customWidth="1"/>
    <col min="1816" max="2053" width="9.140625" style="200"/>
    <col min="2054" max="2054" width="11.28515625" style="200" customWidth="1"/>
    <col min="2055" max="2055" width="0.7109375" style="200" customWidth="1"/>
    <col min="2056" max="2056" width="27.5703125" style="200" customWidth="1"/>
    <col min="2057" max="2057" width="28.5703125" style="200" customWidth="1"/>
    <col min="2058" max="2058" width="7.85546875" style="200" customWidth="1"/>
    <col min="2059" max="2060" width="18" style="200" customWidth="1"/>
    <col min="2061" max="2061" width="10" style="200" customWidth="1"/>
    <col min="2062" max="2062" width="32" style="200" customWidth="1"/>
    <col min="2063" max="2063" width="12.28515625" style="200" customWidth="1"/>
    <col min="2064" max="2064" width="20" style="200" customWidth="1"/>
    <col min="2065" max="2065" width="11.7109375" style="200" customWidth="1"/>
    <col min="2066" max="2066" width="12" style="200" customWidth="1"/>
    <col min="2067" max="2067" width="8.5703125" style="200" customWidth="1"/>
    <col min="2068" max="2068" width="18.42578125" style="200" customWidth="1"/>
    <col min="2069" max="2069" width="8.5703125" style="200" customWidth="1"/>
    <col min="2070" max="2071" width="18.42578125" style="200" customWidth="1"/>
    <col min="2072" max="2309" width="9.140625" style="200"/>
    <col min="2310" max="2310" width="11.28515625" style="200" customWidth="1"/>
    <col min="2311" max="2311" width="0.7109375" style="200" customWidth="1"/>
    <col min="2312" max="2312" width="27.5703125" style="200" customWidth="1"/>
    <col min="2313" max="2313" width="28.5703125" style="200" customWidth="1"/>
    <col min="2314" max="2314" width="7.85546875" style="200" customWidth="1"/>
    <col min="2315" max="2316" width="18" style="200" customWidth="1"/>
    <col min="2317" max="2317" width="10" style="200" customWidth="1"/>
    <col min="2318" max="2318" width="32" style="200" customWidth="1"/>
    <col min="2319" max="2319" width="12.28515625" style="200" customWidth="1"/>
    <col min="2320" max="2320" width="20" style="200" customWidth="1"/>
    <col min="2321" max="2321" width="11.7109375" style="200" customWidth="1"/>
    <col min="2322" max="2322" width="12" style="200" customWidth="1"/>
    <col min="2323" max="2323" width="8.5703125" style="200" customWidth="1"/>
    <col min="2324" max="2324" width="18.42578125" style="200" customWidth="1"/>
    <col min="2325" max="2325" width="8.5703125" style="200" customWidth="1"/>
    <col min="2326" max="2327" width="18.42578125" style="200" customWidth="1"/>
    <col min="2328" max="2565" width="9.140625" style="200"/>
    <col min="2566" max="2566" width="11.28515625" style="200" customWidth="1"/>
    <col min="2567" max="2567" width="0.7109375" style="200" customWidth="1"/>
    <col min="2568" max="2568" width="27.5703125" style="200" customWidth="1"/>
    <col min="2569" max="2569" width="28.5703125" style="200" customWidth="1"/>
    <col min="2570" max="2570" width="7.85546875" style="200" customWidth="1"/>
    <col min="2571" max="2572" width="18" style="200" customWidth="1"/>
    <col min="2573" max="2573" width="10" style="200" customWidth="1"/>
    <col min="2574" max="2574" width="32" style="200" customWidth="1"/>
    <col min="2575" max="2575" width="12.28515625" style="200" customWidth="1"/>
    <col min="2576" max="2576" width="20" style="200" customWidth="1"/>
    <col min="2577" max="2577" width="11.7109375" style="200" customWidth="1"/>
    <col min="2578" max="2578" width="12" style="200" customWidth="1"/>
    <col min="2579" max="2579" width="8.5703125" style="200" customWidth="1"/>
    <col min="2580" max="2580" width="18.42578125" style="200" customWidth="1"/>
    <col min="2581" max="2581" width="8.5703125" style="200" customWidth="1"/>
    <col min="2582" max="2583" width="18.42578125" style="200" customWidth="1"/>
    <col min="2584" max="2821" width="9.140625" style="200"/>
    <col min="2822" max="2822" width="11.28515625" style="200" customWidth="1"/>
    <col min="2823" max="2823" width="0.7109375" style="200" customWidth="1"/>
    <col min="2824" max="2824" width="27.5703125" style="200" customWidth="1"/>
    <col min="2825" max="2825" width="28.5703125" style="200" customWidth="1"/>
    <col min="2826" max="2826" width="7.85546875" style="200" customWidth="1"/>
    <col min="2827" max="2828" width="18" style="200" customWidth="1"/>
    <col min="2829" max="2829" width="10" style="200" customWidth="1"/>
    <col min="2830" max="2830" width="32" style="200" customWidth="1"/>
    <col min="2831" max="2831" width="12.28515625" style="200" customWidth="1"/>
    <col min="2832" max="2832" width="20" style="200" customWidth="1"/>
    <col min="2833" max="2833" width="11.7109375" style="200" customWidth="1"/>
    <col min="2834" max="2834" width="12" style="200" customWidth="1"/>
    <col min="2835" max="2835" width="8.5703125" style="200" customWidth="1"/>
    <col min="2836" max="2836" width="18.42578125" style="200" customWidth="1"/>
    <col min="2837" max="2837" width="8.5703125" style="200" customWidth="1"/>
    <col min="2838" max="2839" width="18.42578125" style="200" customWidth="1"/>
    <col min="2840" max="3077" width="9.140625" style="200"/>
    <col min="3078" max="3078" width="11.28515625" style="200" customWidth="1"/>
    <col min="3079" max="3079" width="0.7109375" style="200" customWidth="1"/>
    <col min="3080" max="3080" width="27.5703125" style="200" customWidth="1"/>
    <col min="3081" max="3081" width="28.5703125" style="200" customWidth="1"/>
    <col min="3082" max="3082" width="7.85546875" style="200" customWidth="1"/>
    <col min="3083" max="3084" width="18" style="200" customWidth="1"/>
    <col min="3085" max="3085" width="10" style="200" customWidth="1"/>
    <col min="3086" max="3086" width="32" style="200" customWidth="1"/>
    <col min="3087" max="3087" width="12.28515625" style="200" customWidth="1"/>
    <col min="3088" max="3088" width="20" style="200" customWidth="1"/>
    <col min="3089" max="3089" width="11.7109375" style="200" customWidth="1"/>
    <col min="3090" max="3090" width="12" style="200" customWidth="1"/>
    <col min="3091" max="3091" width="8.5703125" style="200" customWidth="1"/>
    <col min="3092" max="3092" width="18.42578125" style="200" customWidth="1"/>
    <col min="3093" max="3093" width="8.5703125" style="200" customWidth="1"/>
    <col min="3094" max="3095" width="18.42578125" style="200" customWidth="1"/>
    <col min="3096" max="3333" width="9.140625" style="200"/>
    <col min="3334" max="3334" width="11.28515625" style="200" customWidth="1"/>
    <col min="3335" max="3335" width="0.7109375" style="200" customWidth="1"/>
    <col min="3336" max="3336" width="27.5703125" style="200" customWidth="1"/>
    <col min="3337" max="3337" width="28.5703125" style="200" customWidth="1"/>
    <col min="3338" max="3338" width="7.85546875" style="200" customWidth="1"/>
    <col min="3339" max="3340" width="18" style="200" customWidth="1"/>
    <col min="3341" max="3341" width="10" style="200" customWidth="1"/>
    <col min="3342" max="3342" width="32" style="200" customWidth="1"/>
    <col min="3343" max="3343" width="12.28515625" style="200" customWidth="1"/>
    <col min="3344" max="3344" width="20" style="200" customWidth="1"/>
    <col min="3345" max="3345" width="11.7109375" style="200" customWidth="1"/>
    <col min="3346" max="3346" width="12" style="200" customWidth="1"/>
    <col min="3347" max="3347" width="8.5703125" style="200" customWidth="1"/>
    <col min="3348" max="3348" width="18.42578125" style="200" customWidth="1"/>
    <col min="3349" max="3349" width="8.5703125" style="200" customWidth="1"/>
    <col min="3350" max="3351" width="18.42578125" style="200" customWidth="1"/>
    <col min="3352" max="3589" width="9.140625" style="200"/>
    <col min="3590" max="3590" width="11.28515625" style="200" customWidth="1"/>
    <col min="3591" max="3591" width="0.7109375" style="200" customWidth="1"/>
    <col min="3592" max="3592" width="27.5703125" style="200" customWidth="1"/>
    <col min="3593" max="3593" width="28.5703125" style="200" customWidth="1"/>
    <col min="3594" max="3594" width="7.85546875" style="200" customWidth="1"/>
    <col min="3595" max="3596" width="18" style="200" customWidth="1"/>
    <col min="3597" max="3597" width="10" style="200" customWidth="1"/>
    <col min="3598" max="3598" width="32" style="200" customWidth="1"/>
    <col min="3599" max="3599" width="12.28515625" style="200" customWidth="1"/>
    <col min="3600" max="3600" width="20" style="200" customWidth="1"/>
    <col min="3601" max="3601" width="11.7109375" style="200" customWidth="1"/>
    <col min="3602" max="3602" width="12" style="200" customWidth="1"/>
    <col min="3603" max="3603" width="8.5703125" style="200" customWidth="1"/>
    <col min="3604" max="3604" width="18.42578125" style="200" customWidth="1"/>
    <col min="3605" max="3605" width="8.5703125" style="200" customWidth="1"/>
    <col min="3606" max="3607" width="18.42578125" style="200" customWidth="1"/>
    <col min="3608" max="3845" width="9.140625" style="200"/>
    <col min="3846" max="3846" width="11.28515625" style="200" customWidth="1"/>
    <col min="3847" max="3847" width="0.7109375" style="200" customWidth="1"/>
    <col min="3848" max="3848" width="27.5703125" style="200" customWidth="1"/>
    <col min="3849" max="3849" width="28.5703125" style="200" customWidth="1"/>
    <col min="3850" max="3850" width="7.85546875" style="200" customWidth="1"/>
    <col min="3851" max="3852" width="18" style="200" customWidth="1"/>
    <col min="3853" max="3853" width="10" style="200" customWidth="1"/>
    <col min="3854" max="3854" width="32" style="200" customWidth="1"/>
    <col min="3855" max="3855" width="12.28515625" style="200" customWidth="1"/>
    <col min="3856" max="3856" width="20" style="200" customWidth="1"/>
    <col min="3857" max="3857" width="11.7109375" style="200" customWidth="1"/>
    <col min="3858" max="3858" width="12" style="200" customWidth="1"/>
    <col min="3859" max="3859" width="8.5703125" style="200" customWidth="1"/>
    <col min="3860" max="3860" width="18.42578125" style="200" customWidth="1"/>
    <col min="3861" max="3861" width="8.5703125" style="200" customWidth="1"/>
    <col min="3862" max="3863" width="18.42578125" style="200" customWidth="1"/>
    <col min="3864" max="4101" width="9.140625" style="200"/>
    <col min="4102" max="4102" width="11.28515625" style="200" customWidth="1"/>
    <col min="4103" max="4103" width="0.7109375" style="200" customWidth="1"/>
    <col min="4104" max="4104" width="27.5703125" style="200" customWidth="1"/>
    <col min="4105" max="4105" width="28.5703125" style="200" customWidth="1"/>
    <col min="4106" max="4106" width="7.85546875" style="200" customWidth="1"/>
    <col min="4107" max="4108" width="18" style="200" customWidth="1"/>
    <col min="4109" max="4109" width="10" style="200" customWidth="1"/>
    <col min="4110" max="4110" width="32" style="200" customWidth="1"/>
    <col min="4111" max="4111" width="12.28515625" style="200" customWidth="1"/>
    <col min="4112" max="4112" width="20" style="200" customWidth="1"/>
    <col min="4113" max="4113" width="11.7109375" style="200" customWidth="1"/>
    <col min="4114" max="4114" width="12" style="200" customWidth="1"/>
    <col min="4115" max="4115" width="8.5703125" style="200" customWidth="1"/>
    <col min="4116" max="4116" width="18.42578125" style="200" customWidth="1"/>
    <col min="4117" max="4117" width="8.5703125" style="200" customWidth="1"/>
    <col min="4118" max="4119" width="18.42578125" style="200" customWidth="1"/>
    <col min="4120" max="4357" width="9.140625" style="200"/>
    <col min="4358" max="4358" width="11.28515625" style="200" customWidth="1"/>
    <col min="4359" max="4359" width="0.7109375" style="200" customWidth="1"/>
    <col min="4360" max="4360" width="27.5703125" style="200" customWidth="1"/>
    <col min="4361" max="4361" width="28.5703125" style="200" customWidth="1"/>
    <col min="4362" max="4362" width="7.85546875" style="200" customWidth="1"/>
    <col min="4363" max="4364" width="18" style="200" customWidth="1"/>
    <col min="4365" max="4365" width="10" style="200" customWidth="1"/>
    <col min="4366" max="4366" width="32" style="200" customWidth="1"/>
    <col min="4367" max="4367" width="12.28515625" style="200" customWidth="1"/>
    <col min="4368" max="4368" width="20" style="200" customWidth="1"/>
    <col min="4369" max="4369" width="11.7109375" style="200" customWidth="1"/>
    <col min="4370" max="4370" width="12" style="200" customWidth="1"/>
    <col min="4371" max="4371" width="8.5703125" style="200" customWidth="1"/>
    <col min="4372" max="4372" width="18.42578125" style="200" customWidth="1"/>
    <col min="4373" max="4373" width="8.5703125" style="200" customWidth="1"/>
    <col min="4374" max="4375" width="18.42578125" style="200" customWidth="1"/>
    <col min="4376" max="4613" width="9.140625" style="200"/>
    <col min="4614" max="4614" width="11.28515625" style="200" customWidth="1"/>
    <col min="4615" max="4615" width="0.7109375" style="200" customWidth="1"/>
    <col min="4616" max="4616" width="27.5703125" style="200" customWidth="1"/>
    <col min="4617" max="4617" width="28.5703125" style="200" customWidth="1"/>
    <col min="4618" max="4618" width="7.85546875" style="200" customWidth="1"/>
    <col min="4619" max="4620" width="18" style="200" customWidth="1"/>
    <col min="4621" max="4621" width="10" style="200" customWidth="1"/>
    <col min="4622" max="4622" width="32" style="200" customWidth="1"/>
    <col min="4623" max="4623" width="12.28515625" style="200" customWidth="1"/>
    <col min="4624" max="4624" width="20" style="200" customWidth="1"/>
    <col min="4625" max="4625" width="11.7109375" style="200" customWidth="1"/>
    <col min="4626" max="4626" width="12" style="200" customWidth="1"/>
    <col min="4627" max="4627" width="8.5703125" style="200" customWidth="1"/>
    <col min="4628" max="4628" width="18.42578125" style="200" customWidth="1"/>
    <col min="4629" max="4629" width="8.5703125" style="200" customWidth="1"/>
    <col min="4630" max="4631" width="18.42578125" style="200" customWidth="1"/>
    <col min="4632" max="4869" width="9.140625" style="200"/>
    <col min="4870" max="4870" width="11.28515625" style="200" customWidth="1"/>
    <col min="4871" max="4871" width="0.7109375" style="200" customWidth="1"/>
    <col min="4872" max="4872" width="27.5703125" style="200" customWidth="1"/>
    <col min="4873" max="4873" width="28.5703125" style="200" customWidth="1"/>
    <col min="4874" max="4874" width="7.85546875" style="200" customWidth="1"/>
    <col min="4875" max="4876" width="18" style="200" customWidth="1"/>
    <col min="4877" max="4877" width="10" style="200" customWidth="1"/>
    <col min="4878" max="4878" width="32" style="200" customWidth="1"/>
    <col min="4879" max="4879" width="12.28515625" style="200" customWidth="1"/>
    <col min="4880" max="4880" width="20" style="200" customWidth="1"/>
    <col min="4881" max="4881" width="11.7109375" style="200" customWidth="1"/>
    <col min="4882" max="4882" width="12" style="200" customWidth="1"/>
    <col min="4883" max="4883" width="8.5703125" style="200" customWidth="1"/>
    <col min="4884" max="4884" width="18.42578125" style="200" customWidth="1"/>
    <col min="4885" max="4885" width="8.5703125" style="200" customWidth="1"/>
    <col min="4886" max="4887" width="18.42578125" style="200" customWidth="1"/>
    <col min="4888" max="5125" width="9.140625" style="200"/>
    <col min="5126" max="5126" width="11.28515625" style="200" customWidth="1"/>
    <col min="5127" max="5127" width="0.7109375" style="200" customWidth="1"/>
    <col min="5128" max="5128" width="27.5703125" style="200" customWidth="1"/>
    <col min="5129" max="5129" width="28.5703125" style="200" customWidth="1"/>
    <col min="5130" max="5130" width="7.85546875" style="200" customWidth="1"/>
    <col min="5131" max="5132" width="18" style="200" customWidth="1"/>
    <col min="5133" max="5133" width="10" style="200" customWidth="1"/>
    <col min="5134" max="5134" width="32" style="200" customWidth="1"/>
    <col min="5135" max="5135" width="12.28515625" style="200" customWidth="1"/>
    <col min="5136" max="5136" width="20" style="200" customWidth="1"/>
    <col min="5137" max="5137" width="11.7109375" style="200" customWidth="1"/>
    <col min="5138" max="5138" width="12" style="200" customWidth="1"/>
    <col min="5139" max="5139" width="8.5703125" style="200" customWidth="1"/>
    <col min="5140" max="5140" width="18.42578125" style="200" customWidth="1"/>
    <col min="5141" max="5141" width="8.5703125" style="200" customWidth="1"/>
    <col min="5142" max="5143" width="18.42578125" style="200" customWidth="1"/>
    <col min="5144" max="5381" width="9.140625" style="200"/>
    <col min="5382" max="5382" width="11.28515625" style="200" customWidth="1"/>
    <col min="5383" max="5383" width="0.7109375" style="200" customWidth="1"/>
    <col min="5384" max="5384" width="27.5703125" style="200" customWidth="1"/>
    <col min="5385" max="5385" width="28.5703125" style="200" customWidth="1"/>
    <col min="5386" max="5386" width="7.85546875" style="200" customWidth="1"/>
    <col min="5387" max="5388" width="18" style="200" customWidth="1"/>
    <col min="5389" max="5389" width="10" style="200" customWidth="1"/>
    <col min="5390" max="5390" width="32" style="200" customWidth="1"/>
    <col min="5391" max="5391" width="12.28515625" style="200" customWidth="1"/>
    <col min="5392" max="5392" width="20" style="200" customWidth="1"/>
    <col min="5393" max="5393" width="11.7109375" style="200" customWidth="1"/>
    <col min="5394" max="5394" width="12" style="200" customWidth="1"/>
    <col min="5395" max="5395" width="8.5703125" style="200" customWidth="1"/>
    <col min="5396" max="5396" width="18.42578125" style="200" customWidth="1"/>
    <col min="5397" max="5397" width="8.5703125" style="200" customWidth="1"/>
    <col min="5398" max="5399" width="18.42578125" style="200" customWidth="1"/>
    <col min="5400" max="5637" width="9.140625" style="200"/>
    <col min="5638" max="5638" width="11.28515625" style="200" customWidth="1"/>
    <col min="5639" max="5639" width="0.7109375" style="200" customWidth="1"/>
    <col min="5640" max="5640" width="27.5703125" style="200" customWidth="1"/>
    <col min="5641" max="5641" width="28.5703125" style="200" customWidth="1"/>
    <col min="5642" max="5642" width="7.85546875" style="200" customWidth="1"/>
    <col min="5643" max="5644" width="18" style="200" customWidth="1"/>
    <col min="5645" max="5645" width="10" style="200" customWidth="1"/>
    <col min="5646" max="5646" width="32" style="200" customWidth="1"/>
    <col min="5647" max="5647" width="12.28515625" style="200" customWidth="1"/>
    <col min="5648" max="5648" width="20" style="200" customWidth="1"/>
    <col min="5649" max="5649" width="11.7109375" style="200" customWidth="1"/>
    <col min="5650" max="5650" width="12" style="200" customWidth="1"/>
    <col min="5651" max="5651" width="8.5703125" style="200" customWidth="1"/>
    <col min="5652" max="5652" width="18.42578125" style="200" customWidth="1"/>
    <col min="5653" max="5653" width="8.5703125" style="200" customWidth="1"/>
    <col min="5654" max="5655" width="18.42578125" style="200" customWidth="1"/>
    <col min="5656" max="5893" width="9.140625" style="200"/>
    <col min="5894" max="5894" width="11.28515625" style="200" customWidth="1"/>
    <col min="5895" max="5895" width="0.7109375" style="200" customWidth="1"/>
    <col min="5896" max="5896" width="27.5703125" style="200" customWidth="1"/>
    <col min="5897" max="5897" width="28.5703125" style="200" customWidth="1"/>
    <col min="5898" max="5898" width="7.85546875" style="200" customWidth="1"/>
    <col min="5899" max="5900" width="18" style="200" customWidth="1"/>
    <col min="5901" max="5901" width="10" style="200" customWidth="1"/>
    <col min="5902" max="5902" width="32" style="200" customWidth="1"/>
    <col min="5903" max="5903" width="12.28515625" style="200" customWidth="1"/>
    <col min="5904" max="5904" width="20" style="200" customWidth="1"/>
    <col min="5905" max="5905" width="11.7109375" style="200" customWidth="1"/>
    <col min="5906" max="5906" width="12" style="200" customWidth="1"/>
    <col min="5907" max="5907" width="8.5703125" style="200" customWidth="1"/>
    <col min="5908" max="5908" width="18.42578125" style="200" customWidth="1"/>
    <col min="5909" max="5909" width="8.5703125" style="200" customWidth="1"/>
    <col min="5910" max="5911" width="18.42578125" style="200" customWidth="1"/>
    <col min="5912" max="6149" width="9.140625" style="200"/>
    <col min="6150" max="6150" width="11.28515625" style="200" customWidth="1"/>
    <col min="6151" max="6151" width="0.7109375" style="200" customWidth="1"/>
    <col min="6152" max="6152" width="27.5703125" style="200" customWidth="1"/>
    <col min="6153" max="6153" width="28.5703125" style="200" customWidth="1"/>
    <col min="6154" max="6154" width="7.85546875" style="200" customWidth="1"/>
    <col min="6155" max="6156" width="18" style="200" customWidth="1"/>
    <col min="6157" max="6157" width="10" style="200" customWidth="1"/>
    <col min="6158" max="6158" width="32" style="200" customWidth="1"/>
    <col min="6159" max="6159" width="12.28515625" style="200" customWidth="1"/>
    <col min="6160" max="6160" width="20" style="200" customWidth="1"/>
    <col min="6161" max="6161" width="11.7109375" style="200" customWidth="1"/>
    <col min="6162" max="6162" width="12" style="200" customWidth="1"/>
    <col min="6163" max="6163" width="8.5703125" style="200" customWidth="1"/>
    <col min="6164" max="6164" width="18.42578125" style="200" customWidth="1"/>
    <col min="6165" max="6165" width="8.5703125" style="200" customWidth="1"/>
    <col min="6166" max="6167" width="18.42578125" style="200" customWidth="1"/>
    <col min="6168" max="6405" width="9.140625" style="200"/>
    <col min="6406" max="6406" width="11.28515625" style="200" customWidth="1"/>
    <col min="6407" max="6407" width="0.7109375" style="200" customWidth="1"/>
    <col min="6408" max="6408" width="27.5703125" style="200" customWidth="1"/>
    <col min="6409" max="6409" width="28.5703125" style="200" customWidth="1"/>
    <col min="6410" max="6410" width="7.85546875" style="200" customWidth="1"/>
    <col min="6411" max="6412" width="18" style="200" customWidth="1"/>
    <col min="6413" max="6413" width="10" style="200" customWidth="1"/>
    <col min="6414" max="6414" width="32" style="200" customWidth="1"/>
    <col min="6415" max="6415" width="12.28515625" style="200" customWidth="1"/>
    <col min="6416" max="6416" width="20" style="200" customWidth="1"/>
    <col min="6417" max="6417" width="11.7109375" style="200" customWidth="1"/>
    <col min="6418" max="6418" width="12" style="200" customWidth="1"/>
    <col min="6419" max="6419" width="8.5703125" style="200" customWidth="1"/>
    <col min="6420" max="6420" width="18.42578125" style="200" customWidth="1"/>
    <col min="6421" max="6421" width="8.5703125" style="200" customWidth="1"/>
    <col min="6422" max="6423" width="18.42578125" style="200" customWidth="1"/>
    <col min="6424" max="6661" width="9.140625" style="200"/>
    <col min="6662" max="6662" width="11.28515625" style="200" customWidth="1"/>
    <col min="6663" max="6663" width="0.7109375" style="200" customWidth="1"/>
    <col min="6664" max="6664" width="27.5703125" style="200" customWidth="1"/>
    <col min="6665" max="6665" width="28.5703125" style="200" customWidth="1"/>
    <col min="6666" max="6666" width="7.85546875" style="200" customWidth="1"/>
    <col min="6667" max="6668" width="18" style="200" customWidth="1"/>
    <col min="6669" max="6669" width="10" style="200" customWidth="1"/>
    <col min="6670" max="6670" width="32" style="200" customWidth="1"/>
    <col min="6671" max="6671" width="12.28515625" style="200" customWidth="1"/>
    <col min="6672" max="6672" width="20" style="200" customWidth="1"/>
    <col min="6673" max="6673" width="11.7109375" style="200" customWidth="1"/>
    <col min="6674" max="6674" width="12" style="200" customWidth="1"/>
    <col min="6675" max="6675" width="8.5703125" style="200" customWidth="1"/>
    <col min="6676" max="6676" width="18.42578125" style="200" customWidth="1"/>
    <col min="6677" max="6677" width="8.5703125" style="200" customWidth="1"/>
    <col min="6678" max="6679" width="18.42578125" style="200" customWidth="1"/>
    <col min="6680" max="6917" width="9.140625" style="200"/>
    <col min="6918" max="6918" width="11.28515625" style="200" customWidth="1"/>
    <col min="6919" max="6919" width="0.7109375" style="200" customWidth="1"/>
    <col min="6920" max="6920" width="27.5703125" style="200" customWidth="1"/>
    <col min="6921" max="6921" width="28.5703125" style="200" customWidth="1"/>
    <col min="6922" max="6922" width="7.85546875" style="200" customWidth="1"/>
    <col min="6923" max="6924" width="18" style="200" customWidth="1"/>
    <col min="6925" max="6925" width="10" style="200" customWidth="1"/>
    <col min="6926" max="6926" width="32" style="200" customWidth="1"/>
    <col min="6927" max="6927" width="12.28515625" style="200" customWidth="1"/>
    <col min="6928" max="6928" width="20" style="200" customWidth="1"/>
    <col min="6929" max="6929" width="11.7109375" style="200" customWidth="1"/>
    <col min="6930" max="6930" width="12" style="200" customWidth="1"/>
    <col min="6931" max="6931" width="8.5703125" style="200" customWidth="1"/>
    <col min="6932" max="6932" width="18.42578125" style="200" customWidth="1"/>
    <col min="6933" max="6933" width="8.5703125" style="200" customWidth="1"/>
    <col min="6934" max="6935" width="18.42578125" style="200" customWidth="1"/>
    <col min="6936" max="7173" width="9.140625" style="200"/>
    <col min="7174" max="7174" width="11.28515625" style="200" customWidth="1"/>
    <col min="7175" max="7175" width="0.7109375" style="200" customWidth="1"/>
    <col min="7176" max="7176" width="27.5703125" style="200" customWidth="1"/>
    <col min="7177" max="7177" width="28.5703125" style="200" customWidth="1"/>
    <col min="7178" max="7178" width="7.85546875" style="200" customWidth="1"/>
    <col min="7179" max="7180" width="18" style="200" customWidth="1"/>
    <col min="7181" max="7181" width="10" style="200" customWidth="1"/>
    <col min="7182" max="7182" width="32" style="200" customWidth="1"/>
    <col min="7183" max="7183" width="12.28515625" style="200" customWidth="1"/>
    <col min="7184" max="7184" width="20" style="200" customWidth="1"/>
    <col min="7185" max="7185" width="11.7109375" style="200" customWidth="1"/>
    <col min="7186" max="7186" width="12" style="200" customWidth="1"/>
    <col min="7187" max="7187" width="8.5703125" style="200" customWidth="1"/>
    <col min="7188" max="7188" width="18.42578125" style="200" customWidth="1"/>
    <col min="7189" max="7189" width="8.5703125" style="200" customWidth="1"/>
    <col min="7190" max="7191" width="18.42578125" style="200" customWidth="1"/>
    <col min="7192" max="7429" width="9.140625" style="200"/>
    <col min="7430" max="7430" width="11.28515625" style="200" customWidth="1"/>
    <col min="7431" max="7431" width="0.7109375" style="200" customWidth="1"/>
    <col min="7432" max="7432" width="27.5703125" style="200" customWidth="1"/>
    <col min="7433" max="7433" width="28.5703125" style="200" customWidth="1"/>
    <col min="7434" max="7434" width="7.85546875" style="200" customWidth="1"/>
    <col min="7435" max="7436" width="18" style="200" customWidth="1"/>
    <col min="7437" max="7437" width="10" style="200" customWidth="1"/>
    <col min="7438" max="7438" width="32" style="200" customWidth="1"/>
    <col min="7439" max="7439" width="12.28515625" style="200" customWidth="1"/>
    <col min="7440" max="7440" width="20" style="200" customWidth="1"/>
    <col min="7441" max="7441" width="11.7109375" style="200" customWidth="1"/>
    <col min="7442" max="7442" width="12" style="200" customWidth="1"/>
    <col min="7443" max="7443" width="8.5703125" style="200" customWidth="1"/>
    <col min="7444" max="7444" width="18.42578125" style="200" customWidth="1"/>
    <col min="7445" max="7445" width="8.5703125" style="200" customWidth="1"/>
    <col min="7446" max="7447" width="18.42578125" style="200" customWidth="1"/>
    <col min="7448" max="7685" width="9.140625" style="200"/>
    <col min="7686" max="7686" width="11.28515625" style="200" customWidth="1"/>
    <col min="7687" max="7687" width="0.7109375" style="200" customWidth="1"/>
    <col min="7688" max="7688" width="27.5703125" style="200" customWidth="1"/>
    <col min="7689" max="7689" width="28.5703125" style="200" customWidth="1"/>
    <col min="7690" max="7690" width="7.85546875" style="200" customWidth="1"/>
    <col min="7691" max="7692" width="18" style="200" customWidth="1"/>
    <col min="7693" max="7693" width="10" style="200" customWidth="1"/>
    <col min="7694" max="7694" width="32" style="200" customWidth="1"/>
    <col min="7695" max="7695" width="12.28515625" style="200" customWidth="1"/>
    <col min="7696" max="7696" width="20" style="200" customWidth="1"/>
    <col min="7697" max="7697" width="11.7109375" style="200" customWidth="1"/>
    <col min="7698" max="7698" width="12" style="200" customWidth="1"/>
    <col min="7699" max="7699" width="8.5703125" style="200" customWidth="1"/>
    <col min="7700" max="7700" width="18.42578125" style="200" customWidth="1"/>
    <col min="7701" max="7701" width="8.5703125" style="200" customWidth="1"/>
    <col min="7702" max="7703" width="18.42578125" style="200" customWidth="1"/>
    <col min="7704" max="7941" width="9.140625" style="200"/>
    <col min="7942" max="7942" width="11.28515625" style="200" customWidth="1"/>
    <col min="7943" max="7943" width="0.7109375" style="200" customWidth="1"/>
    <col min="7944" max="7944" width="27.5703125" style="200" customWidth="1"/>
    <col min="7945" max="7945" width="28.5703125" style="200" customWidth="1"/>
    <col min="7946" max="7946" width="7.85546875" style="200" customWidth="1"/>
    <col min="7947" max="7948" width="18" style="200" customWidth="1"/>
    <col min="7949" max="7949" width="10" style="200" customWidth="1"/>
    <col min="7950" max="7950" width="32" style="200" customWidth="1"/>
    <col min="7951" max="7951" width="12.28515625" style="200" customWidth="1"/>
    <col min="7952" max="7952" width="20" style="200" customWidth="1"/>
    <col min="7953" max="7953" width="11.7109375" style="200" customWidth="1"/>
    <col min="7954" max="7954" width="12" style="200" customWidth="1"/>
    <col min="7955" max="7955" width="8.5703125" style="200" customWidth="1"/>
    <col min="7956" max="7956" width="18.42578125" style="200" customWidth="1"/>
    <col min="7957" max="7957" width="8.5703125" style="200" customWidth="1"/>
    <col min="7958" max="7959" width="18.42578125" style="200" customWidth="1"/>
    <col min="7960" max="8197" width="9.140625" style="200"/>
    <col min="8198" max="8198" width="11.28515625" style="200" customWidth="1"/>
    <col min="8199" max="8199" width="0.7109375" style="200" customWidth="1"/>
    <col min="8200" max="8200" width="27.5703125" style="200" customWidth="1"/>
    <col min="8201" max="8201" width="28.5703125" style="200" customWidth="1"/>
    <col min="8202" max="8202" width="7.85546875" style="200" customWidth="1"/>
    <col min="8203" max="8204" width="18" style="200" customWidth="1"/>
    <col min="8205" max="8205" width="10" style="200" customWidth="1"/>
    <col min="8206" max="8206" width="32" style="200" customWidth="1"/>
    <col min="8207" max="8207" width="12.28515625" style="200" customWidth="1"/>
    <col min="8208" max="8208" width="20" style="200" customWidth="1"/>
    <col min="8209" max="8209" width="11.7109375" style="200" customWidth="1"/>
    <col min="8210" max="8210" width="12" style="200" customWidth="1"/>
    <col min="8211" max="8211" width="8.5703125" style="200" customWidth="1"/>
    <col min="8212" max="8212" width="18.42578125" style="200" customWidth="1"/>
    <col min="8213" max="8213" width="8.5703125" style="200" customWidth="1"/>
    <col min="8214" max="8215" width="18.42578125" style="200" customWidth="1"/>
    <col min="8216" max="8453" width="9.140625" style="200"/>
    <col min="8454" max="8454" width="11.28515625" style="200" customWidth="1"/>
    <col min="8455" max="8455" width="0.7109375" style="200" customWidth="1"/>
    <col min="8456" max="8456" width="27.5703125" style="200" customWidth="1"/>
    <col min="8457" max="8457" width="28.5703125" style="200" customWidth="1"/>
    <col min="8458" max="8458" width="7.85546875" style="200" customWidth="1"/>
    <col min="8459" max="8460" width="18" style="200" customWidth="1"/>
    <col min="8461" max="8461" width="10" style="200" customWidth="1"/>
    <col min="8462" max="8462" width="32" style="200" customWidth="1"/>
    <col min="8463" max="8463" width="12.28515625" style="200" customWidth="1"/>
    <col min="8464" max="8464" width="20" style="200" customWidth="1"/>
    <col min="8465" max="8465" width="11.7109375" style="200" customWidth="1"/>
    <col min="8466" max="8466" width="12" style="200" customWidth="1"/>
    <col min="8467" max="8467" width="8.5703125" style="200" customWidth="1"/>
    <col min="8468" max="8468" width="18.42578125" style="200" customWidth="1"/>
    <col min="8469" max="8469" width="8.5703125" style="200" customWidth="1"/>
    <col min="8470" max="8471" width="18.42578125" style="200" customWidth="1"/>
    <col min="8472" max="8709" width="9.140625" style="200"/>
    <col min="8710" max="8710" width="11.28515625" style="200" customWidth="1"/>
    <col min="8711" max="8711" width="0.7109375" style="200" customWidth="1"/>
    <col min="8712" max="8712" width="27.5703125" style="200" customWidth="1"/>
    <col min="8713" max="8713" width="28.5703125" style="200" customWidth="1"/>
    <col min="8714" max="8714" width="7.85546875" style="200" customWidth="1"/>
    <col min="8715" max="8716" width="18" style="200" customWidth="1"/>
    <col min="8717" max="8717" width="10" style="200" customWidth="1"/>
    <col min="8718" max="8718" width="32" style="200" customWidth="1"/>
    <col min="8719" max="8719" width="12.28515625" style="200" customWidth="1"/>
    <col min="8720" max="8720" width="20" style="200" customWidth="1"/>
    <col min="8721" max="8721" width="11.7109375" style="200" customWidth="1"/>
    <col min="8722" max="8722" width="12" style="200" customWidth="1"/>
    <col min="8723" max="8723" width="8.5703125" style="200" customWidth="1"/>
    <col min="8724" max="8724" width="18.42578125" style="200" customWidth="1"/>
    <col min="8725" max="8725" width="8.5703125" style="200" customWidth="1"/>
    <col min="8726" max="8727" width="18.42578125" style="200" customWidth="1"/>
    <col min="8728" max="8965" width="9.140625" style="200"/>
    <col min="8966" max="8966" width="11.28515625" style="200" customWidth="1"/>
    <col min="8967" max="8967" width="0.7109375" style="200" customWidth="1"/>
    <col min="8968" max="8968" width="27.5703125" style="200" customWidth="1"/>
    <col min="8969" max="8969" width="28.5703125" style="200" customWidth="1"/>
    <col min="8970" max="8970" width="7.85546875" style="200" customWidth="1"/>
    <col min="8971" max="8972" width="18" style="200" customWidth="1"/>
    <col min="8973" max="8973" width="10" style="200" customWidth="1"/>
    <col min="8974" max="8974" width="32" style="200" customWidth="1"/>
    <col min="8975" max="8975" width="12.28515625" style="200" customWidth="1"/>
    <col min="8976" max="8976" width="20" style="200" customWidth="1"/>
    <col min="8977" max="8977" width="11.7109375" style="200" customWidth="1"/>
    <col min="8978" max="8978" width="12" style="200" customWidth="1"/>
    <col min="8979" max="8979" width="8.5703125" style="200" customWidth="1"/>
    <col min="8980" max="8980" width="18.42578125" style="200" customWidth="1"/>
    <col min="8981" max="8981" width="8.5703125" style="200" customWidth="1"/>
    <col min="8982" max="8983" width="18.42578125" style="200" customWidth="1"/>
    <col min="8984" max="9221" width="9.140625" style="200"/>
    <col min="9222" max="9222" width="11.28515625" style="200" customWidth="1"/>
    <col min="9223" max="9223" width="0.7109375" style="200" customWidth="1"/>
    <col min="9224" max="9224" width="27.5703125" style="200" customWidth="1"/>
    <col min="9225" max="9225" width="28.5703125" style="200" customWidth="1"/>
    <col min="9226" max="9226" width="7.85546875" style="200" customWidth="1"/>
    <col min="9227" max="9228" width="18" style="200" customWidth="1"/>
    <col min="9229" max="9229" width="10" style="200" customWidth="1"/>
    <col min="9230" max="9230" width="32" style="200" customWidth="1"/>
    <col min="9231" max="9231" width="12.28515625" style="200" customWidth="1"/>
    <col min="9232" max="9232" width="20" style="200" customWidth="1"/>
    <col min="9233" max="9233" width="11.7109375" style="200" customWidth="1"/>
    <col min="9234" max="9234" width="12" style="200" customWidth="1"/>
    <col min="9235" max="9235" width="8.5703125" style="200" customWidth="1"/>
    <col min="9236" max="9236" width="18.42578125" style="200" customWidth="1"/>
    <col min="9237" max="9237" width="8.5703125" style="200" customWidth="1"/>
    <col min="9238" max="9239" width="18.42578125" style="200" customWidth="1"/>
    <col min="9240" max="9477" width="9.140625" style="200"/>
    <col min="9478" max="9478" width="11.28515625" style="200" customWidth="1"/>
    <col min="9479" max="9479" width="0.7109375" style="200" customWidth="1"/>
    <col min="9480" max="9480" width="27.5703125" style="200" customWidth="1"/>
    <col min="9481" max="9481" width="28.5703125" style="200" customWidth="1"/>
    <col min="9482" max="9482" width="7.85546875" style="200" customWidth="1"/>
    <col min="9483" max="9484" width="18" style="200" customWidth="1"/>
    <col min="9485" max="9485" width="10" style="200" customWidth="1"/>
    <col min="9486" max="9486" width="32" style="200" customWidth="1"/>
    <col min="9487" max="9487" width="12.28515625" style="200" customWidth="1"/>
    <col min="9488" max="9488" width="20" style="200" customWidth="1"/>
    <col min="9489" max="9489" width="11.7109375" style="200" customWidth="1"/>
    <col min="9490" max="9490" width="12" style="200" customWidth="1"/>
    <col min="9491" max="9491" width="8.5703125" style="200" customWidth="1"/>
    <col min="9492" max="9492" width="18.42578125" style="200" customWidth="1"/>
    <col min="9493" max="9493" width="8.5703125" style="200" customWidth="1"/>
    <col min="9494" max="9495" width="18.42578125" style="200" customWidth="1"/>
    <col min="9496" max="9733" width="9.140625" style="200"/>
    <col min="9734" max="9734" width="11.28515625" style="200" customWidth="1"/>
    <col min="9735" max="9735" width="0.7109375" style="200" customWidth="1"/>
    <col min="9736" max="9736" width="27.5703125" style="200" customWidth="1"/>
    <col min="9737" max="9737" width="28.5703125" style="200" customWidth="1"/>
    <col min="9738" max="9738" width="7.85546875" style="200" customWidth="1"/>
    <col min="9739" max="9740" width="18" style="200" customWidth="1"/>
    <col min="9741" max="9741" width="10" style="200" customWidth="1"/>
    <col min="9742" max="9742" width="32" style="200" customWidth="1"/>
    <col min="9743" max="9743" width="12.28515625" style="200" customWidth="1"/>
    <col min="9744" max="9744" width="20" style="200" customWidth="1"/>
    <col min="9745" max="9745" width="11.7109375" style="200" customWidth="1"/>
    <col min="9746" max="9746" width="12" style="200" customWidth="1"/>
    <col min="9747" max="9747" width="8.5703125" style="200" customWidth="1"/>
    <col min="9748" max="9748" width="18.42578125" style="200" customWidth="1"/>
    <col min="9749" max="9749" width="8.5703125" style="200" customWidth="1"/>
    <col min="9750" max="9751" width="18.42578125" style="200" customWidth="1"/>
    <col min="9752" max="9989" width="9.140625" style="200"/>
    <col min="9990" max="9990" width="11.28515625" style="200" customWidth="1"/>
    <col min="9991" max="9991" width="0.7109375" style="200" customWidth="1"/>
    <col min="9992" max="9992" width="27.5703125" style="200" customWidth="1"/>
    <col min="9993" max="9993" width="28.5703125" style="200" customWidth="1"/>
    <col min="9994" max="9994" width="7.85546875" style="200" customWidth="1"/>
    <col min="9995" max="9996" width="18" style="200" customWidth="1"/>
    <col min="9997" max="9997" width="10" style="200" customWidth="1"/>
    <col min="9998" max="9998" width="32" style="200" customWidth="1"/>
    <col min="9999" max="9999" width="12.28515625" style="200" customWidth="1"/>
    <col min="10000" max="10000" width="20" style="200" customWidth="1"/>
    <col min="10001" max="10001" width="11.7109375" style="200" customWidth="1"/>
    <col min="10002" max="10002" width="12" style="200" customWidth="1"/>
    <col min="10003" max="10003" width="8.5703125" style="200" customWidth="1"/>
    <col min="10004" max="10004" width="18.42578125" style="200" customWidth="1"/>
    <col min="10005" max="10005" width="8.5703125" style="200" customWidth="1"/>
    <col min="10006" max="10007" width="18.42578125" style="200" customWidth="1"/>
    <col min="10008" max="10245" width="9.140625" style="200"/>
    <col min="10246" max="10246" width="11.28515625" style="200" customWidth="1"/>
    <col min="10247" max="10247" width="0.7109375" style="200" customWidth="1"/>
    <col min="10248" max="10248" width="27.5703125" style="200" customWidth="1"/>
    <col min="10249" max="10249" width="28.5703125" style="200" customWidth="1"/>
    <col min="10250" max="10250" width="7.85546875" style="200" customWidth="1"/>
    <col min="10251" max="10252" width="18" style="200" customWidth="1"/>
    <col min="10253" max="10253" width="10" style="200" customWidth="1"/>
    <col min="10254" max="10254" width="32" style="200" customWidth="1"/>
    <col min="10255" max="10255" width="12.28515625" style="200" customWidth="1"/>
    <col min="10256" max="10256" width="20" style="200" customWidth="1"/>
    <col min="10257" max="10257" width="11.7109375" style="200" customWidth="1"/>
    <col min="10258" max="10258" width="12" style="200" customWidth="1"/>
    <col min="10259" max="10259" width="8.5703125" style="200" customWidth="1"/>
    <col min="10260" max="10260" width="18.42578125" style="200" customWidth="1"/>
    <col min="10261" max="10261" width="8.5703125" style="200" customWidth="1"/>
    <col min="10262" max="10263" width="18.42578125" style="200" customWidth="1"/>
    <col min="10264" max="10501" width="9.140625" style="200"/>
    <col min="10502" max="10502" width="11.28515625" style="200" customWidth="1"/>
    <col min="10503" max="10503" width="0.7109375" style="200" customWidth="1"/>
    <col min="10504" max="10504" width="27.5703125" style="200" customWidth="1"/>
    <col min="10505" max="10505" width="28.5703125" style="200" customWidth="1"/>
    <col min="10506" max="10506" width="7.85546875" style="200" customWidth="1"/>
    <col min="10507" max="10508" width="18" style="200" customWidth="1"/>
    <col min="10509" max="10509" width="10" style="200" customWidth="1"/>
    <col min="10510" max="10510" width="32" style="200" customWidth="1"/>
    <col min="10511" max="10511" width="12.28515625" style="200" customWidth="1"/>
    <col min="10512" max="10512" width="20" style="200" customWidth="1"/>
    <col min="10513" max="10513" width="11.7109375" style="200" customWidth="1"/>
    <col min="10514" max="10514" width="12" style="200" customWidth="1"/>
    <col min="10515" max="10515" width="8.5703125" style="200" customWidth="1"/>
    <col min="10516" max="10516" width="18.42578125" style="200" customWidth="1"/>
    <col min="10517" max="10517" width="8.5703125" style="200" customWidth="1"/>
    <col min="10518" max="10519" width="18.42578125" style="200" customWidth="1"/>
    <col min="10520" max="10757" width="9.140625" style="200"/>
    <col min="10758" max="10758" width="11.28515625" style="200" customWidth="1"/>
    <col min="10759" max="10759" width="0.7109375" style="200" customWidth="1"/>
    <col min="10760" max="10760" width="27.5703125" style="200" customWidth="1"/>
    <col min="10761" max="10761" width="28.5703125" style="200" customWidth="1"/>
    <col min="10762" max="10762" width="7.85546875" style="200" customWidth="1"/>
    <col min="10763" max="10764" width="18" style="200" customWidth="1"/>
    <col min="10765" max="10765" width="10" style="200" customWidth="1"/>
    <col min="10766" max="10766" width="32" style="200" customWidth="1"/>
    <col min="10767" max="10767" width="12.28515625" style="200" customWidth="1"/>
    <col min="10768" max="10768" width="20" style="200" customWidth="1"/>
    <col min="10769" max="10769" width="11.7109375" style="200" customWidth="1"/>
    <col min="10770" max="10770" width="12" style="200" customWidth="1"/>
    <col min="10771" max="10771" width="8.5703125" style="200" customWidth="1"/>
    <col min="10772" max="10772" width="18.42578125" style="200" customWidth="1"/>
    <col min="10773" max="10773" width="8.5703125" style="200" customWidth="1"/>
    <col min="10774" max="10775" width="18.42578125" style="200" customWidth="1"/>
    <col min="10776" max="11013" width="9.140625" style="200"/>
    <col min="11014" max="11014" width="11.28515625" style="200" customWidth="1"/>
    <col min="11015" max="11015" width="0.7109375" style="200" customWidth="1"/>
    <col min="11016" max="11016" width="27.5703125" style="200" customWidth="1"/>
    <col min="11017" max="11017" width="28.5703125" style="200" customWidth="1"/>
    <col min="11018" max="11018" width="7.85546875" style="200" customWidth="1"/>
    <col min="11019" max="11020" width="18" style="200" customWidth="1"/>
    <col min="11021" max="11021" width="10" style="200" customWidth="1"/>
    <col min="11022" max="11022" width="32" style="200" customWidth="1"/>
    <col min="11023" max="11023" width="12.28515625" style="200" customWidth="1"/>
    <col min="11024" max="11024" width="20" style="200" customWidth="1"/>
    <col min="11025" max="11025" width="11.7109375" style="200" customWidth="1"/>
    <col min="11026" max="11026" width="12" style="200" customWidth="1"/>
    <col min="11027" max="11027" width="8.5703125" style="200" customWidth="1"/>
    <col min="11028" max="11028" width="18.42578125" style="200" customWidth="1"/>
    <col min="11029" max="11029" width="8.5703125" style="200" customWidth="1"/>
    <col min="11030" max="11031" width="18.42578125" style="200" customWidth="1"/>
    <col min="11032" max="11269" width="9.140625" style="200"/>
    <col min="11270" max="11270" width="11.28515625" style="200" customWidth="1"/>
    <col min="11271" max="11271" width="0.7109375" style="200" customWidth="1"/>
    <col min="11272" max="11272" width="27.5703125" style="200" customWidth="1"/>
    <col min="11273" max="11273" width="28.5703125" style="200" customWidth="1"/>
    <col min="11274" max="11274" width="7.85546875" style="200" customWidth="1"/>
    <col min="11275" max="11276" width="18" style="200" customWidth="1"/>
    <col min="11277" max="11277" width="10" style="200" customWidth="1"/>
    <col min="11278" max="11278" width="32" style="200" customWidth="1"/>
    <col min="11279" max="11279" width="12.28515625" style="200" customWidth="1"/>
    <col min="11280" max="11280" width="20" style="200" customWidth="1"/>
    <col min="11281" max="11281" width="11.7109375" style="200" customWidth="1"/>
    <col min="11282" max="11282" width="12" style="200" customWidth="1"/>
    <col min="11283" max="11283" width="8.5703125" style="200" customWidth="1"/>
    <col min="11284" max="11284" width="18.42578125" style="200" customWidth="1"/>
    <col min="11285" max="11285" width="8.5703125" style="200" customWidth="1"/>
    <col min="11286" max="11287" width="18.42578125" style="200" customWidth="1"/>
    <col min="11288" max="11525" width="9.140625" style="200"/>
    <col min="11526" max="11526" width="11.28515625" style="200" customWidth="1"/>
    <col min="11527" max="11527" width="0.7109375" style="200" customWidth="1"/>
    <col min="11528" max="11528" width="27.5703125" style="200" customWidth="1"/>
    <col min="11529" max="11529" width="28.5703125" style="200" customWidth="1"/>
    <col min="11530" max="11530" width="7.85546875" style="200" customWidth="1"/>
    <col min="11531" max="11532" width="18" style="200" customWidth="1"/>
    <col min="11533" max="11533" width="10" style="200" customWidth="1"/>
    <col min="11534" max="11534" width="32" style="200" customWidth="1"/>
    <col min="11535" max="11535" width="12.28515625" style="200" customWidth="1"/>
    <col min="11536" max="11536" width="20" style="200" customWidth="1"/>
    <col min="11537" max="11537" width="11.7109375" style="200" customWidth="1"/>
    <col min="11538" max="11538" width="12" style="200" customWidth="1"/>
    <col min="11539" max="11539" width="8.5703125" style="200" customWidth="1"/>
    <col min="11540" max="11540" width="18.42578125" style="200" customWidth="1"/>
    <col min="11541" max="11541" width="8.5703125" style="200" customWidth="1"/>
    <col min="11542" max="11543" width="18.42578125" style="200" customWidth="1"/>
    <col min="11544" max="11781" width="9.140625" style="200"/>
    <col min="11782" max="11782" width="11.28515625" style="200" customWidth="1"/>
    <col min="11783" max="11783" width="0.7109375" style="200" customWidth="1"/>
    <col min="11784" max="11784" width="27.5703125" style="200" customWidth="1"/>
    <col min="11785" max="11785" width="28.5703125" style="200" customWidth="1"/>
    <col min="11786" max="11786" width="7.85546875" style="200" customWidth="1"/>
    <col min="11787" max="11788" width="18" style="200" customWidth="1"/>
    <col min="11789" max="11789" width="10" style="200" customWidth="1"/>
    <col min="11790" max="11790" width="32" style="200" customWidth="1"/>
    <col min="11791" max="11791" width="12.28515625" style="200" customWidth="1"/>
    <col min="11792" max="11792" width="20" style="200" customWidth="1"/>
    <col min="11793" max="11793" width="11.7109375" style="200" customWidth="1"/>
    <col min="11794" max="11794" width="12" style="200" customWidth="1"/>
    <col min="11795" max="11795" width="8.5703125" style="200" customWidth="1"/>
    <col min="11796" max="11796" width="18.42578125" style="200" customWidth="1"/>
    <col min="11797" max="11797" width="8.5703125" style="200" customWidth="1"/>
    <col min="11798" max="11799" width="18.42578125" style="200" customWidth="1"/>
    <col min="11800" max="12037" width="9.140625" style="200"/>
    <col min="12038" max="12038" width="11.28515625" style="200" customWidth="1"/>
    <col min="12039" max="12039" width="0.7109375" style="200" customWidth="1"/>
    <col min="12040" max="12040" width="27.5703125" style="200" customWidth="1"/>
    <col min="12041" max="12041" width="28.5703125" style="200" customWidth="1"/>
    <col min="12042" max="12042" width="7.85546875" style="200" customWidth="1"/>
    <col min="12043" max="12044" width="18" style="200" customWidth="1"/>
    <col min="12045" max="12045" width="10" style="200" customWidth="1"/>
    <col min="12046" max="12046" width="32" style="200" customWidth="1"/>
    <col min="12047" max="12047" width="12.28515625" style="200" customWidth="1"/>
    <col min="12048" max="12048" width="20" style="200" customWidth="1"/>
    <col min="12049" max="12049" width="11.7109375" style="200" customWidth="1"/>
    <col min="12050" max="12050" width="12" style="200" customWidth="1"/>
    <col min="12051" max="12051" width="8.5703125" style="200" customWidth="1"/>
    <col min="12052" max="12052" width="18.42578125" style="200" customWidth="1"/>
    <col min="12053" max="12053" width="8.5703125" style="200" customWidth="1"/>
    <col min="12054" max="12055" width="18.42578125" style="200" customWidth="1"/>
    <col min="12056" max="12293" width="9.140625" style="200"/>
    <col min="12294" max="12294" width="11.28515625" style="200" customWidth="1"/>
    <col min="12295" max="12295" width="0.7109375" style="200" customWidth="1"/>
    <col min="12296" max="12296" width="27.5703125" style="200" customWidth="1"/>
    <col min="12297" max="12297" width="28.5703125" style="200" customWidth="1"/>
    <col min="12298" max="12298" width="7.85546875" style="200" customWidth="1"/>
    <col min="12299" max="12300" width="18" style="200" customWidth="1"/>
    <col min="12301" max="12301" width="10" style="200" customWidth="1"/>
    <col min="12302" max="12302" width="32" style="200" customWidth="1"/>
    <col min="12303" max="12303" width="12.28515625" style="200" customWidth="1"/>
    <col min="12304" max="12304" width="20" style="200" customWidth="1"/>
    <col min="12305" max="12305" width="11.7109375" style="200" customWidth="1"/>
    <col min="12306" max="12306" width="12" style="200" customWidth="1"/>
    <col min="12307" max="12307" width="8.5703125" style="200" customWidth="1"/>
    <col min="12308" max="12308" width="18.42578125" style="200" customWidth="1"/>
    <col min="12309" max="12309" width="8.5703125" style="200" customWidth="1"/>
    <col min="12310" max="12311" width="18.42578125" style="200" customWidth="1"/>
    <col min="12312" max="12549" width="9.140625" style="200"/>
    <col min="12550" max="12550" width="11.28515625" style="200" customWidth="1"/>
    <col min="12551" max="12551" width="0.7109375" style="200" customWidth="1"/>
    <col min="12552" max="12552" width="27.5703125" style="200" customWidth="1"/>
    <col min="12553" max="12553" width="28.5703125" style="200" customWidth="1"/>
    <col min="12554" max="12554" width="7.85546875" style="200" customWidth="1"/>
    <col min="12555" max="12556" width="18" style="200" customWidth="1"/>
    <col min="12557" max="12557" width="10" style="200" customWidth="1"/>
    <col min="12558" max="12558" width="32" style="200" customWidth="1"/>
    <col min="12559" max="12559" width="12.28515625" style="200" customWidth="1"/>
    <col min="12560" max="12560" width="20" style="200" customWidth="1"/>
    <col min="12561" max="12561" width="11.7109375" style="200" customWidth="1"/>
    <col min="12562" max="12562" width="12" style="200" customWidth="1"/>
    <col min="12563" max="12563" width="8.5703125" style="200" customWidth="1"/>
    <col min="12564" max="12564" width="18.42578125" style="200" customWidth="1"/>
    <col min="12565" max="12565" width="8.5703125" style="200" customWidth="1"/>
    <col min="12566" max="12567" width="18.42578125" style="200" customWidth="1"/>
    <col min="12568" max="12805" width="9.140625" style="200"/>
    <col min="12806" max="12806" width="11.28515625" style="200" customWidth="1"/>
    <col min="12807" max="12807" width="0.7109375" style="200" customWidth="1"/>
    <col min="12808" max="12808" width="27.5703125" style="200" customWidth="1"/>
    <col min="12809" max="12809" width="28.5703125" style="200" customWidth="1"/>
    <col min="12810" max="12810" width="7.85546875" style="200" customWidth="1"/>
    <col min="12811" max="12812" width="18" style="200" customWidth="1"/>
    <col min="12813" max="12813" width="10" style="200" customWidth="1"/>
    <col min="12814" max="12814" width="32" style="200" customWidth="1"/>
    <col min="12815" max="12815" width="12.28515625" style="200" customWidth="1"/>
    <col min="12816" max="12816" width="20" style="200" customWidth="1"/>
    <col min="12817" max="12817" width="11.7109375" style="200" customWidth="1"/>
    <col min="12818" max="12818" width="12" style="200" customWidth="1"/>
    <col min="12819" max="12819" width="8.5703125" style="200" customWidth="1"/>
    <col min="12820" max="12820" width="18.42578125" style="200" customWidth="1"/>
    <col min="12821" max="12821" width="8.5703125" style="200" customWidth="1"/>
    <col min="12822" max="12823" width="18.42578125" style="200" customWidth="1"/>
    <col min="12824" max="13061" width="9.140625" style="200"/>
    <col min="13062" max="13062" width="11.28515625" style="200" customWidth="1"/>
    <col min="13063" max="13063" width="0.7109375" style="200" customWidth="1"/>
    <col min="13064" max="13064" width="27.5703125" style="200" customWidth="1"/>
    <col min="13065" max="13065" width="28.5703125" style="200" customWidth="1"/>
    <col min="13066" max="13066" width="7.85546875" style="200" customWidth="1"/>
    <col min="13067" max="13068" width="18" style="200" customWidth="1"/>
    <col min="13069" max="13069" width="10" style="200" customWidth="1"/>
    <col min="13070" max="13070" width="32" style="200" customWidth="1"/>
    <col min="13071" max="13071" width="12.28515625" style="200" customWidth="1"/>
    <col min="13072" max="13072" width="20" style="200" customWidth="1"/>
    <col min="13073" max="13073" width="11.7109375" style="200" customWidth="1"/>
    <col min="13074" max="13074" width="12" style="200" customWidth="1"/>
    <col min="13075" max="13075" width="8.5703125" style="200" customWidth="1"/>
    <col min="13076" max="13076" width="18.42578125" style="200" customWidth="1"/>
    <col min="13077" max="13077" width="8.5703125" style="200" customWidth="1"/>
    <col min="13078" max="13079" width="18.42578125" style="200" customWidth="1"/>
    <col min="13080" max="13317" width="9.140625" style="200"/>
    <col min="13318" max="13318" width="11.28515625" style="200" customWidth="1"/>
    <col min="13319" max="13319" width="0.7109375" style="200" customWidth="1"/>
    <col min="13320" max="13320" width="27.5703125" style="200" customWidth="1"/>
    <col min="13321" max="13321" width="28.5703125" style="200" customWidth="1"/>
    <col min="13322" max="13322" width="7.85546875" style="200" customWidth="1"/>
    <col min="13323" max="13324" width="18" style="200" customWidth="1"/>
    <col min="13325" max="13325" width="10" style="200" customWidth="1"/>
    <col min="13326" max="13326" width="32" style="200" customWidth="1"/>
    <col min="13327" max="13327" width="12.28515625" style="200" customWidth="1"/>
    <col min="13328" max="13328" width="20" style="200" customWidth="1"/>
    <col min="13329" max="13329" width="11.7109375" style="200" customWidth="1"/>
    <col min="13330" max="13330" width="12" style="200" customWidth="1"/>
    <col min="13331" max="13331" width="8.5703125" style="200" customWidth="1"/>
    <col min="13332" max="13332" width="18.42578125" style="200" customWidth="1"/>
    <col min="13333" max="13333" width="8.5703125" style="200" customWidth="1"/>
    <col min="13334" max="13335" width="18.42578125" style="200" customWidth="1"/>
    <col min="13336" max="13573" width="9.140625" style="200"/>
    <col min="13574" max="13574" width="11.28515625" style="200" customWidth="1"/>
    <col min="13575" max="13575" width="0.7109375" style="200" customWidth="1"/>
    <col min="13576" max="13576" width="27.5703125" style="200" customWidth="1"/>
    <col min="13577" max="13577" width="28.5703125" style="200" customWidth="1"/>
    <col min="13578" max="13578" width="7.85546875" style="200" customWidth="1"/>
    <col min="13579" max="13580" width="18" style="200" customWidth="1"/>
    <col min="13581" max="13581" width="10" style="200" customWidth="1"/>
    <col min="13582" max="13582" width="32" style="200" customWidth="1"/>
    <col min="13583" max="13583" width="12.28515625" style="200" customWidth="1"/>
    <col min="13584" max="13584" width="20" style="200" customWidth="1"/>
    <col min="13585" max="13585" width="11.7109375" style="200" customWidth="1"/>
    <col min="13586" max="13586" width="12" style="200" customWidth="1"/>
    <col min="13587" max="13587" width="8.5703125" style="200" customWidth="1"/>
    <col min="13588" max="13588" width="18.42578125" style="200" customWidth="1"/>
    <col min="13589" max="13589" width="8.5703125" style="200" customWidth="1"/>
    <col min="13590" max="13591" width="18.42578125" style="200" customWidth="1"/>
    <col min="13592" max="13829" width="9.140625" style="200"/>
    <col min="13830" max="13830" width="11.28515625" style="200" customWidth="1"/>
    <col min="13831" max="13831" width="0.7109375" style="200" customWidth="1"/>
    <col min="13832" max="13832" width="27.5703125" style="200" customWidth="1"/>
    <col min="13833" max="13833" width="28.5703125" style="200" customWidth="1"/>
    <col min="13834" max="13834" width="7.85546875" style="200" customWidth="1"/>
    <col min="13835" max="13836" width="18" style="200" customWidth="1"/>
    <col min="13837" max="13837" width="10" style="200" customWidth="1"/>
    <col min="13838" max="13838" width="32" style="200" customWidth="1"/>
    <col min="13839" max="13839" width="12.28515625" style="200" customWidth="1"/>
    <col min="13840" max="13840" width="20" style="200" customWidth="1"/>
    <col min="13841" max="13841" width="11.7109375" style="200" customWidth="1"/>
    <col min="13842" max="13842" width="12" style="200" customWidth="1"/>
    <col min="13843" max="13843" width="8.5703125" style="200" customWidth="1"/>
    <col min="13844" max="13844" width="18.42578125" style="200" customWidth="1"/>
    <col min="13845" max="13845" width="8.5703125" style="200" customWidth="1"/>
    <col min="13846" max="13847" width="18.42578125" style="200" customWidth="1"/>
    <col min="13848" max="14085" width="9.140625" style="200"/>
    <col min="14086" max="14086" width="11.28515625" style="200" customWidth="1"/>
    <col min="14087" max="14087" width="0.7109375" style="200" customWidth="1"/>
    <col min="14088" max="14088" width="27.5703125" style="200" customWidth="1"/>
    <col min="14089" max="14089" width="28.5703125" style="200" customWidth="1"/>
    <col min="14090" max="14090" width="7.85546875" style="200" customWidth="1"/>
    <col min="14091" max="14092" width="18" style="200" customWidth="1"/>
    <col min="14093" max="14093" width="10" style="200" customWidth="1"/>
    <col min="14094" max="14094" width="32" style="200" customWidth="1"/>
    <col min="14095" max="14095" width="12.28515625" style="200" customWidth="1"/>
    <col min="14096" max="14096" width="20" style="200" customWidth="1"/>
    <col min="14097" max="14097" width="11.7109375" style="200" customWidth="1"/>
    <col min="14098" max="14098" width="12" style="200" customWidth="1"/>
    <col min="14099" max="14099" width="8.5703125" style="200" customWidth="1"/>
    <col min="14100" max="14100" width="18.42578125" style="200" customWidth="1"/>
    <col min="14101" max="14101" width="8.5703125" style="200" customWidth="1"/>
    <col min="14102" max="14103" width="18.42578125" style="200" customWidth="1"/>
    <col min="14104" max="14341" width="9.140625" style="200"/>
    <col min="14342" max="14342" width="11.28515625" style="200" customWidth="1"/>
    <col min="14343" max="14343" width="0.7109375" style="200" customWidth="1"/>
    <col min="14344" max="14344" width="27.5703125" style="200" customWidth="1"/>
    <col min="14345" max="14345" width="28.5703125" style="200" customWidth="1"/>
    <col min="14346" max="14346" width="7.85546875" style="200" customWidth="1"/>
    <col min="14347" max="14348" width="18" style="200" customWidth="1"/>
    <col min="14349" max="14349" width="10" style="200" customWidth="1"/>
    <col min="14350" max="14350" width="32" style="200" customWidth="1"/>
    <col min="14351" max="14351" width="12.28515625" style="200" customWidth="1"/>
    <col min="14352" max="14352" width="20" style="200" customWidth="1"/>
    <col min="14353" max="14353" width="11.7109375" style="200" customWidth="1"/>
    <col min="14354" max="14354" width="12" style="200" customWidth="1"/>
    <col min="14355" max="14355" width="8.5703125" style="200" customWidth="1"/>
    <col min="14356" max="14356" width="18.42578125" style="200" customWidth="1"/>
    <col min="14357" max="14357" width="8.5703125" style="200" customWidth="1"/>
    <col min="14358" max="14359" width="18.42578125" style="200" customWidth="1"/>
    <col min="14360" max="14597" width="9.140625" style="200"/>
    <col min="14598" max="14598" width="11.28515625" style="200" customWidth="1"/>
    <col min="14599" max="14599" width="0.7109375" style="200" customWidth="1"/>
    <col min="14600" max="14600" width="27.5703125" style="200" customWidth="1"/>
    <col min="14601" max="14601" width="28.5703125" style="200" customWidth="1"/>
    <col min="14602" max="14602" width="7.85546875" style="200" customWidth="1"/>
    <col min="14603" max="14604" width="18" style="200" customWidth="1"/>
    <col min="14605" max="14605" width="10" style="200" customWidth="1"/>
    <col min="14606" max="14606" width="32" style="200" customWidth="1"/>
    <col min="14607" max="14607" width="12.28515625" style="200" customWidth="1"/>
    <col min="14608" max="14608" width="20" style="200" customWidth="1"/>
    <col min="14609" max="14609" width="11.7109375" style="200" customWidth="1"/>
    <col min="14610" max="14610" width="12" style="200" customWidth="1"/>
    <col min="14611" max="14611" width="8.5703125" style="200" customWidth="1"/>
    <col min="14612" max="14612" width="18.42578125" style="200" customWidth="1"/>
    <col min="14613" max="14613" width="8.5703125" style="200" customWidth="1"/>
    <col min="14614" max="14615" width="18.42578125" style="200" customWidth="1"/>
    <col min="14616" max="14853" width="9.140625" style="200"/>
    <col min="14854" max="14854" width="11.28515625" style="200" customWidth="1"/>
    <col min="14855" max="14855" width="0.7109375" style="200" customWidth="1"/>
    <col min="14856" max="14856" width="27.5703125" style="200" customWidth="1"/>
    <col min="14857" max="14857" width="28.5703125" style="200" customWidth="1"/>
    <col min="14858" max="14858" width="7.85546875" style="200" customWidth="1"/>
    <col min="14859" max="14860" width="18" style="200" customWidth="1"/>
    <col min="14861" max="14861" width="10" style="200" customWidth="1"/>
    <col min="14862" max="14862" width="32" style="200" customWidth="1"/>
    <col min="14863" max="14863" width="12.28515625" style="200" customWidth="1"/>
    <col min="14864" max="14864" width="20" style="200" customWidth="1"/>
    <col min="14865" max="14865" width="11.7109375" style="200" customWidth="1"/>
    <col min="14866" max="14866" width="12" style="200" customWidth="1"/>
    <col min="14867" max="14867" width="8.5703125" style="200" customWidth="1"/>
    <col min="14868" max="14868" width="18.42578125" style="200" customWidth="1"/>
    <col min="14869" max="14869" width="8.5703125" style="200" customWidth="1"/>
    <col min="14870" max="14871" width="18.42578125" style="200" customWidth="1"/>
    <col min="14872" max="15109" width="9.140625" style="200"/>
    <col min="15110" max="15110" width="11.28515625" style="200" customWidth="1"/>
    <col min="15111" max="15111" width="0.7109375" style="200" customWidth="1"/>
    <col min="15112" max="15112" width="27.5703125" style="200" customWidth="1"/>
    <col min="15113" max="15113" width="28.5703125" style="200" customWidth="1"/>
    <col min="15114" max="15114" width="7.85546875" style="200" customWidth="1"/>
    <col min="15115" max="15116" width="18" style="200" customWidth="1"/>
    <col min="15117" max="15117" width="10" style="200" customWidth="1"/>
    <col min="15118" max="15118" width="32" style="200" customWidth="1"/>
    <col min="15119" max="15119" width="12.28515625" style="200" customWidth="1"/>
    <col min="15120" max="15120" width="20" style="200" customWidth="1"/>
    <col min="15121" max="15121" width="11.7109375" style="200" customWidth="1"/>
    <col min="15122" max="15122" width="12" style="200" customWidth="1"/>
    <col min="15123" max="15123" width="8.5703125" style="200" customWidth="1"/>
    <col min="15124" max="15124" width="18.42578125" style="200" customWidth="1"/>
    <col min="15125" max="15125" width="8.5703125" style="200" customWidth="1"/>
    <col min="15126" max="15127" width="18.42578125" style="200" customWidth="1"/>
    <col min="15128" max="15365" width="9.140625" style="200"/>
    <col min="15366" max="15366" width="11.28515625" style="200" customWidth="1"/>
    <col min="15367" max="15367" width="0.7109375" style="200" customWidth="1"/>
    <col min="15368" max="15368" width="27.5703125" style="200" customWidth="1"/>
    <col min="15369" max="15369" width="28.5703125" style="200" customWidth="1"/>
    <col min="15370" max="15370" width="7.85546875" style="200" customWidth="1"/>
    <col min="15371" max="15372" width="18" style="200" customWidth="1"/>
    <col min="15373" max="15373" width="10" style="200" customWidth="1"/>
    <col min="15374" max="15374" width="32" style="200" customWidth="1"/>
    <col min="15375" max="15375" width="12.28515625" style="200" customWidth="1"/>
    <col min="15376" max="15376" width="20" style="200" customWidth="1"/>
    <col min="15377" max="15377" width="11.7109375" style="200" customWidth="1"/>
    <col min="15378" max="15378" width="12" style="200" customWidth="1"/>
    <col min="15379" max="15379" width="8.5703125" style="200" customWidth="1"/>
    <col min="15380" max="15380" width="18.42578125" style="200" customWidth="1"/>
    <col min="15381" max="15381" width="8.5703125" style="200" customWidth="1"/>
    <col min="15382" max="15383" width="18.42578125" style="200" customWidth="1"/>
    <col min="15384" max="15621" width="9.140625" style="200"/>
    <col min="15622" max="15622" width="11.28515625" style="200" customWidth="1"/>
    <col min="15623" max="15623" width="0.7109375" style="200" customWidth="1"/>
    <col min="15624" max="15624" width="27.5703125" style="200" customWidth="1"/>
    <col min="15625" max="15625" width="28.5703125" style="200" customWidth="1"/>
    <col min="15626" max="15626" width="7.85546875" style="200" customWidth="1"/>
    <col min="15627" max="15628" width="18" style="200" customWidth="1"/>
    <col min="15629" max="15629" width="10" style="200" customWidth="1"/>
    <col min="15630" max="15630" width="32" style="200" customWidth="1"/>
    <col min="15631" max="15631" width="12.28515625" style="200" customWidth="1"/>
    <col min="15632" max="15632" width="20" style="200" customWidth="1"/>
    <col min="15633" max="15633" width="11.7109375" style="200" customWidth="1"/>
    <col min="15634" max="15634" width="12" style="200" customWidth="1"/>
    <col min="15635" max="15635" width="8.5703125" style="200" customWidth="1"/>
    <col min="15636" max="15636" width="18.42578125" style="200" customWidth="1"/>
    <col min="15637" max="15637" width="8.5703125" style="200" customWidth="1"/>
    <col min="15638" max="15639" width="18.42578125" style="200" customWidth="1"/>
    <col min="15640" max="15877" width="9.140625" style="200"/>
    <col min="15878" max="15878" width="11.28515625" style="200" customWidth="1"/>
    <col min="15879" max="15879" width="0.7109375" style="200" customWidth="1"/>
    <col min="15880" max="15880" width="27.5703125" style="200" customWidth="1"/>
    <col min="15881" max="15881" width="28.5703125" style="200" customWidth="1"/>
    <col min="15882" max="15882" width="7.85546875" style="200" customWidth="1"/>
    <col min="15883" max="15884" width="18" style="200" customWidth="1"/>
    <col min="15885" max="15885" width="10" style="200" customWidth="1"/>
    <col min="15886" max="15886" width="32" style="200" customWidth="1"/>
    <col min="15887" max="15887" width="12.28515625" style="200" customWidth="1"/>
    <col min="15888" max="15888" width="20" style="200" customWidth="1"/>
    <col min="15889" max="15889" width="11.7109375" style="200" customWidth="1"/>
    <col min="15890" max="15890" width="12" style="200" customWidth="1"/>
    <col min="15891" max="15891" width="8.5703125" style="200" customWidth="1"/>
    <col min="15892" max="15892" width="18.42578125" style="200" customWidth="1"/>
    <col min="15893" max="15893" width="8.5703125" style="200" customWidth="1"/>
    <col min="15894" max="15895" width="18.42578125" style="200" customWidth="1"/>
    <col min="15896" max="16133" width="9.140625" style="200"/>
    <col min="16134" max="16134" width="11.28515625" style="200" customWidth="1"/>
    <col min="16135" max="16135" width="0.7109375" style="200" customWidth="1"/>
    <col min="16136" max="16136" width="27.5703125" style="200" customWidth="1"/>
    <col min="16137" max="16137" width="28.5703125" style="200" customWidth="1"/>
    <col min="16138" max="16138" width="7.85546875" style="200" customWidth="1"/>
    <col min="16139" max="16140" width="18" style="200" customWidth="1"/>
    <col min="16141" max="16141" width="10" style="200" customWidth="1"/>
    <col min="16142" max="16142" width="32" style="200" customWidth="1"/>
    <col min="16143" max="16143" width="12.28515625" style="200" customWidth="1"/>
    <col min="16144" max="16144" width="20" style="200" customWidth="1"/>
    <col min="16145" max="16145" width="11.7109375" style="200" customWidth="1"/>
    <col min="16146" max="16146" width="12" style="200" customWidth="1"/>
    <col min="16147" max="16147" width="8.5703125" style="200" customWidth="1"/>
    <col min="16148" max="16148" width="18.42578125" style="200" customWidth="1"/>
    <col min="16149" max="16149" width="8.5703125" style="200" customWidth="1"/>
    <col min="16150" max="16151" width="18.42578125" style="200" customWidth="1"/>
    <col min="16152" max="16384" width="9.140625" style="200"/>
  </cols>
  <sheetData>
    <row r="1" spans="1:36" s="206" customFormat="1" ht="42" x14ac:dyDescent="0.25">
      <c r="B1" s="207" t="s">
        <v>479</v>
      </c>
      <c r="C1" s="207" t="s">
        <v>484</v>
      </c>
      <c r="D1" s="208" t="s">
        <v>485</v>
      </c>
      <c r="E1" s="207" t="s">
        <v>486</v>
      </c>
      <c r="F1" s="209" t="s">
        <v>487</v>
      </c>
      <c r="G1" s="210" t="s">
        <v>488</v>
      </c>
      <c r="H1" s="209" t="s">
        <v>489</v>
      </c>
      <c r="I1" s="209" t="s">
        <v>1292</v>
      </c>
      <c r="J1" s="209" t="s">
        <v>490</v>
      </c>
      <c r="K1" s="209" t="s">
        <v>491</v>
      </c>
      <c r="L1" s="209" t="s">
        <v>492</v>
      </c>
      <c r="M1" s="209" t="s">
        <v>493</v>
      </c>
      <c r="N1" s="209" t="s">
        <v>494</v>
      </c>
      <c r="O1" s="209" t="s">
        <v>495</v>
      </c>
      <c r="P1" s="209" t="s">
        <v>496</v>
      </c>
      <c r="Q1" s="209" t="s">
        <v>497</v>
      </c>
      <c r="R1" s="209" t="s">
        <v>480</v>
      </c>
      <c r="S1" s="209" t="s">
        <v>483</v>
      </c>
      <c r="T1" s="209" t="s">
        <v>481</v>
      </c>
      <c r="U1" s="209" t="s">
        <v>482</v>
      </c>
      <c r="V1" s="211" t="s">
        <v>950</v>
      </c>
      <c r="W1" s="211" t="s">
        <v>951</v>
      </c>
      <c r="X1" s="211" t="s">
        <v>1291</v>
      </c>
      <c r="Y1" s="533" t="s">
        <v>193</v>
      </c>
      <c r="Z1" s="533"/>
      <c r="AA1" s="533" t="s">
        <v>194</v>
      </c>
      <c r="AB1" s="533"/>
      <c r="AC1" s="533" t="s">
        <v>195</v>
      </c>
      <c r="AD1" s="533"/>
      <c r="AE1" s="533" t="s">
        <v>196</v>
      </c>
      <c r="AF1" s="533"/>
      <c r="AG1" s="533" t="s">
        <v>197</v>
      </c>
      <c r="AH1" s="533"/>
      <c r="AI1" s="533" t="s">
        <v>198</v>
      </c>
      <c r="AJ1" s="533"/>
    </row>
    <row r="2" spans="1:36" s="1" customFormat="1" ht="38.25" x14ac:dyDescent="0.25">
      <c r="B2" s="17"/>
      <c r="C2" s="17"/>
      <c r="D2" s="18"/>
      <c r="E2" s="17"/>
      <c r="F2" s="19"/>
      <c r="G2" s="20"/>
      <c r="H2" s="19"/>
      <c r="I2" s="19"/>
      <c r="J2" s="19"/>
      <c r="K2" s="19"/>
      <c r="L2" s="19"/>
      <c r="M2" s="19"/>
      <c r="N2" s="19"/>
      <c r="O2" s="19"/>
      <c r="P2" s="19"/>
      <c r="Q2" s="19"/>
      <c r="R2" s="21"/>
      <c r="S2" s="21"/>
      <c r="T2" s="21"/>
      <c r="U2" s="21"/>
      <c r="V2" s="24">
        <v>44927</v>
      </c>
      <c r="W2" s="22">
        <v>45291</v>
      </c>
      <c r="X2" s="22"/>
      <c r="Y2" s="14" t="s">
        <v>422</v>
      </c>
      <c r="Z2" s="14" t="s">
        <v>423</v>
      </c>
      <c r="AA2" s="14" t="s">
        <v>422</v>
      </c>
      <c r="AB2" s="14" t="s">
        <v>423</v>
      </c>
      <c r="AC2" s="14" t="s">
        <v>422</v>
      </c>
      <c r="AD2" s="14" t="s">
        <v>423</v>
      </c>
      <c r="AE2" s="14" t="s">
        <v>422</v>
      </c>
      <c r="AF2" s="14" t="s">
        <v>423</v>
      </c>
      <c r="AG2" s="14" t="s">
        <v>422</v>
      </c>
      <c r="AH2" s="14" t="s">
        <v>423</v>
      </c>
      <c r="AI2" s="14" t="s">
        <v>422</v>
      </c>
      <c r="AJ2" s="14" t="s">
        <v>423</v>
      </c>
    </row>
    <row r="3" spans="1:36" s="1" customFormat="1" ht="12.75" x14ac:dyDescent="0.25">
      <c r="B3" s="30"/>
      <c r="C3" s="30"/>
      <c r="D3" s="31"/>
      <c r="E3" s="30"/>
      <c r="F3" s="32"/>
      <c r="G3" s="33"/>
      <c r="H3" s="32"/>
      <c r="I3" s="32"/>
      <c r="J3" s="32"/>
      <c r="K3" s="32"/>
      <c r="L3" s="32"/>
      <c r="M3" s="32"/>
      <c r="N3" s="32"/>
      <c r="O3" s="32"/>
      <c r="P3" s="32"/>
      <c r="Q3" s="32"/>
      <c r="R3" s="34"/>
      <c r="S3" s="34"/>
      <c r="T3" s="34"/>
      <c r="U3" s="34"/>
      <c r="Y3" s="14">
        <v>18</v>
      </c>
      <c r="Z3" s="14">
        <v>19</v>
      </c>
      <c r="AA3" s="14">
        <v>20</v>
      </c>
      <c r="AB3" s="14">
        <v>21</v>
      </c>
      <c r="AC3" s="14">
        <v>22</v>
      </c>
      <c r="AD3" s="14">
        <v>23</v>
      </c>
      <c r="AE3" s="14">
        <v>24</v>
      </c>
      <c r="AF3" s="14">
        <v>25</v>
      </c>
      <c r="AG3" s="14">
        <v>26</v>
      </c>
      <c r="AH3" s="14">
        <v>27</v>
      </c>
      <c r="AI3" s="14">
        <v>28</v>
      </c>
      <c r="AJ3" s="14">
        <v>29</v>
      </c>
    </row>
    <row r="4" spans="1:36" s="9" customFormat="1" ht="21.75" customHeight="1" x14ac:dyDescent="0.25">
      <c r="A4" s="2" t="s">
        <v>909</v>
      </c>
      <c r="B4" s="2" t="s">
        <v>498</v>
      </c>
      <c r="C4" s="2" t="s">
        <v>499</v>
      </c>
      <c r="D4" s="176" t="s">
        <v>500</v>
      </c>
      <c r="E4" s="2" t="s">
        <v>501</v>
      </c>
      <c r="F4" s="177">
        <v>1</v>
      </c>
      <c r="G4" s="13" t="s">
        <v>502</v>
      </c>
      <c r="H4" s="4" t="s">
        <v>503</v>
      </c>
      <c r="I4" s="212" t="s">
        <v>946</v>
      </c>
      <c r="J4" s="5" t="s">
        <v>504</v>
      </c>
      <c r="K4" s="3">
        <v>10</v>
      </c>
      <c r="L4" s="4" t="s">
        <v>505</v>
      </c>
      <c r="M4" s="5" t="s">
        <v>506</v>
      </c>
      <c r="N4" s="4" t="s">
        <v>507</v>
      </c>
      <c r="O4" s="6">
        <v>6.4000000000000001E-2</v>
      </c>
      <c r="P4" s="178">
        <v>1560</v>
      </c>
      <c r="Q4" s="7">
        <v>14.12</v>
      </c>
      <c r="R4" s="179">
        <v>481051.96</v>
      </c>
      <c r="S4" s="8">
        <f>R4-U4</f>
        <v>413138.52</v>
      </c>
      <c r="T4" s="181">
        <v>1</v>
      </c>
      <c r="U4" s="8">
        <v>67913.440000000002</v>
      </c>
      <c r="V4" s="23">
        <f t="shared" ref="V4:V67" si="0">IF((DATE(YEAR(M4),MONTH(M4)+1,1))=$V$2,"",DATE(YEAR(M4),MONTH(M4)+1,1))</f>
        <v>40299</v>
      </c>
      <c r="W4" s="25">
        <f>IF(V4&gt;$W$2,0,DATEDIF(V4,$W$2,"m")+1)</f>
        <v>164</v>
      </c>
      <c r="X4" s="25">
        <f>P4-W4</f>
        <v>1396</v>
      </c>
      <c r="Y4" s="28">
        <f t="shared" ref="Y4:Y67" si="1">IF(W4&gt;=121,T4,0)</f>
        <v>1</v>
      </c>
      <c r="Z4" s="29">
        <f>IF(Y4=0,0,$R4)</f>
        <v>481051.96</v>
      </c>
      <c r="AA4" s="28">
        <f t="shared" ref="AA4:AA67" si="2">IF(W4&lt;=120,IF(W4&gt;=85,T4,0),0)</f>
        <v>0</v>
      </c>
      <c r="AB4" s="29">
        <f>IF(AA4=0,0,$R4)</f>
        <v>0</v>
      </c>
      <c r="AC4" s="28">
        <f t="shared" ref="AC4:AC67" si="3">IF(W4&lt;=84,IF(W4&gt;=61,T4,0),0)</f>
        <v>0</v>
      </c>
      <c r="AD4" s="29">
        <f>IF(AC4=0,0,$R4)</f>
        <v>0</v>
      </c>
      <c r="AE4" s="28">
        <f t="shared" ref="AE4:AE67" si="4">IF(W4&lt;=60,IF(W4&gt;=37,T4,0),0)</f>
        <v>0</v>
      </c>
      <c r="AF4" s="29">
        <f>IF(AE4=0,0,$R4)</f>
        <v>0</v>
      </c>
      <c r="AG4" s="28">
        <f t="shared" ref="AG4:AG67" si="5">IF(W4&lt;=36,IF(W4&gt;=13,T4,0),0)</f>
        <v>0</v>
      </c>
      <c r="AH4" s="29">
        <f>IF(AG4=0,0,$R4)</f>
        <v>0</v>
      </c>
      <c r="AI4" s="28">
        <f t="shared" ref="AI4:AI67" si="6">IF(W4&lt;=12,T4,0)</f>
        <v>0</v>
      </c>
      <c r="AJ4" s="29">
        <f>IF(AI4=0,0,$R4)</f>
        <v>0</v>
      </c>
    </row>
    <row r="5" spans="1:36" s="9" customFormat="1" ht="21.75" customHeight="1" x14ac:dyDescent="0.25">
      <c r="A5" s="2" t="s">
        <v>909</v>
      </c>
      <c r="B5" s="2" t="s">
        <v>498</v>
      </c>
      <c r="C5" s="2" t="s">
        <v>499</v>
      </c>
      <c r="D5" s="176" t="s">
        <v>500</v>
      </c>
      <c r="E5" s="2" t="s">
        <v>1101</v>
      </c>
      <c r="F5" s="177">
        <v>2</v>
      </c>
      <c r="G5" s="13" t="s">
        <v>510</v>
      </c>
      <c r="H5" s="4" t="s">
        <v>511</v>
      </c>
      <c r="I5" s="212" t="s">
        <v>1293</v>
      </c>
      <c r="J5" s="5" t="s">
        <v>512</v>
      </c>
      <c r="K5" s="3">
        <v>10</v>
      </c>
      <c r="L5" s="4" t="s">
        <v>505</v>
      </c>
      <c r="M5" s="5" t="s">
        <v>513</v>
      </c>
      <c r="N5" s="4" t="s">
        <v>507</v>
      </c>
      <c r="O5" s="6">
        <v>6.4000000000000001E-2</v>
      </c>
      <c r="P5" s="178">
        <v>1560</v>
      </c>
      <c r="Q5" s="7">
        <v>0.96</v>
      </c>
      <c r="R5" s="179">
        <v>7554000</v>
      </c>
      <c r="S5" s="8">
        <f>R5-U5</f>
        <v>7481365.3499999996</v>
      </c>
      <c r="T5" s="181">
        <v>1</v>
      </c>
      <c r="U5" s="8">
        <v>72634.649999999994</v>
      </c>
      <c r="V5" s="23">
        <f t="shared" si="0"/>
        <v>44835</v>
      </c>
      <c r="W5" s="25">
        <f t="shared" ref="W5:W68" si="7">IF(V5&gt;$W$2,0,DATEDIF(V5,$W$2,"m")+1)</f>
        <v>15</v>
      </c>
      <c r="X5" s="25">
        <f>P5-W5</f>
        <v>1545</v>
      </c>
      <c r="Y5" s="28">
        <f t="shared" si="1"/>
        <v>0</v>
      </c>
      <c r="Z5" s="29">
        <f t="shared" ref="Z5:Z68" si="8">IF(Y5=0,0,$R5)</f>
        <v>0</v>
      </c>
      <c r="AA5" s="28">
        <f t="shared" si="2"/>
        <v>0</v>
      </c>
      <c r="AB5" s="29">
        <f t="shared" ref="AB5:AB68" si="9">IF(AA5=0,0,$R5)</f>
        <v>0</v>
      </c>
      <c r="AC5" s="28">
        <f t="shared" si="3"/>
        <v>0</v>
      </c>
      <c r="AD5" s="29">
        <f t="shared" ref="AD5:AD68" si="10">IF(AC5=0,0,$R5)</f>
        <v>0</v>
      </c>
      <c r="AE5" s="28">
        <f t="shared" si="4"/>
        <v>0</v>
      </c>
      <c r="AF5" s="29">
        <f t="shared" ref="AF5:AF68" si="11">IF(AE5=0,0,$R5)</f>
        <v>0</v>
      </c>
      <c r="AG5" s="28">
        <f t="shared" si="5"/>
        <v>1</v>
      </c>
      <c r="AH5" s="29">
        <f t="shared" ref="AH5:AH68" si="12">IF(AG5=0,0,$R5)</f>
        <v>7554000</v>
      </c>
      <c r="AI5" s="28">
        <f t="shared" si="6"/>
        <v>0</v>
      </c>
      <c r="AJ5" s="29">
        <f t="shared" ref="AJ5:AJ68" si="13">IF(AI5=0,0,$R5)</f>
        <v>0</v>
      </c>
    </row>
    <row r="6" spans="1:36" s="9" customFormat="1" ht="21.75" customHeight="1" x14ac:dyDescent="0.25">
      <c r="A6" s="2" t="s">
        <v>911</v>
      </c>
      <c r="B6" s="2" t="s">
        <v>514</v>
      </c>
      <c r="C6" s="2" t="s">
        <v>499</v>
      </c>
      <c r="D6" s="176" t="s">
        <v>500</v>
      </c>
      <c r="E6" s="2" t="s">
        <v>509</v>
      </c>
      <c r="F6" s="177">
        <v>3</v>
      </c>
      <c r="G6" s="13" t="s">
        <v>515</v>
      </c>
      <c r="H6" s="4" t="s">
        <v>516</v>
      </c>
      <c r="I6" s="212" t="s">
        <v>946</v>
      </c>
      <c r="J6" s="5" t="s">
        <v>517</v>
      </c>
      <c r="K6" s="3">
        <v>2</v>
      </c>
      <c r="L6" s="4" t="s">
        <v>505</v>
      </c>
      <c r="M6" s="5" t="s">
        <v>518</v>
      </c>
      <c r="N6" s="4" t="s">
        <v>507</v>
      </c>
      <c r="O6" s="6">
        <v>2.778</v>
      </c>
      <c r="P6" s="180">
        <v>36</v>
      </c>
      <c r="Q6" s="7">
        <v>100</v>
      </c>
      <c r="R6" s="179">
        <v>125121</v>
      </c>
      <c r="S6" s="8"/>
      <c r="T6" s="181">
        <v>1</v>
      </c>
      <c r="U6" s="179">
        <v>125121</v>
      </c>
      <c r="V6" s="23">
        <f t="shared" si="0"/>
        <v>40544</v>
      </c>
      <c r="W6" s="25">
        <f t="shared" si="7"/>
        <v>156</v>
      </c>
      <c r="X6" s="25"/>
      <c r="Y6" s="28">
        <f t="shared" si="1"/>
        <v>1</v>
      </c>
      <c r="Z6" s="29">
        <f t="shared" si="8"/>
        <v>125121</v>
      </c>
      <c r="AA6" s="28">
        <f t="shared" si="2"/>
        <v>0</v>
      </c>
      <c r="AB6" s="29">
        <f t="shared" si="9"/>
        <v>0</v>
      </c>
      <c r="AC6" s="28">
        <f t="shared" si="3"/>
        <v>0</v>
      </c>
      <c r="AD6" s="29">
        <f t="shared" si="10"/>
        <v>0</v>
      </c>
      <c r="AE6" s="28">
        <f t="shared" si="4"/>
        <v>0</v>
      </c>
      <c r="AF6" s="29">
        <f t="shared" si="11"/>
        <v>0</v>
      </c>
      <c r="AG6" s="28">
        <f t="shared" si="5"/>
        <v>0</v>
      </c>
      <c r="AH6" s="29">
        <f t="shared" si="12"/>
        <v>0</v>
      </c>
      <c r="AI6" s="28">
        <f t="shared" si="6"/>
        <v>0</v>
      </c>
      <c r="AJ6" s="29">
        <f t="shared" si="13"/>
        <v>0</v>
      </c>
    </row>
    <row r="7" spans="1:36" s="9" customFormat="1" ht="21.75" customHeight="1" x14ac:dyDescent="0.25">
      <c r="A7" s="2" t="s">
        <v>910</v>
      </c>
      <c r="B7" s="2" t="s">
        <v>519</v>
      </c>
      <c r="C7" s="2" t="s">
        <v>520</v>
      </c>
      <c r="D7" s="176" t="s">
        <v>508</v>
      </c>
      <c r="E7" s="2" t="s">
        <v>521</v>
      </c>
      <c r="F7" s="177">
        <v>4</v>
      </c>
      <c r="G7" s="13" t="s">
        <v>522</v>
      </c>
      <c r="H7" s="4" t="s">
        <v>523</v>
      </c>
      <c r="I7" s="212" t="s">
        <v>946</v>
      </c>
      <c r="J7" s="5" t="s">
        <v>524</v>
      </c>
      <c r="K7" s="3">
        <v>3</v>
      </c>
      <c r="L7" s="4" t="s">
        <v>505</v>
      </c>
      <c r="M7" s="5" t="s">
        <v>525</v>
      </c>
      <c r="N7" s="4" t="s">
        <v>507</v>
      </c>
      <c r="O7" s="6">
        <v>1.667</v>
      </c>
      <c r="P7" s="180">
        <v>60</v>
      </c>
      <c r="Q7" s="7">
        <v>40</v>
      </c>
      <c r="R7" s="179">
        <v>1596000</v>
      </c>
      <c r="S7" s="8">
        <f>R7-U7</f>
        <v>957600</v>
      </c>
      <c r="T7" s="181">
        <v>1</v>
      </c>
      <c r="U7" s="8">
        <v>638400</v>
      </c>
      <c r="V7" s="23">
        <f t="shared" si="0"/>
        <v>44562</v>
      </c>
      <c r="W7" s="25">
        <f t="shared" si="7"/>
        <v>24</v>
      </c>
      <c r="X7" s="25">
        <f>P7-W7</f>
        <v>36</v>
      </c>
      <c r="Y7" s="28">
        <f t="shared" si="1"/>
        <v>0</v>
      </c>
      <c r="Z7" s="29">
        <f t="shared" si="8"/>
        <v>0</v>
      </c>
      <c r="AA7" s="28">
        <f t="shared" si="2"/>
        <v>0</v>
      </c>
      <c r="AB7" s="29">
        <f t="shared" si="9"/>
        <v>0</v>
      </c>
      <c r="AC7" s="28">
        <f t="shared" si="3"/>
        <v>0</v>
      </c>
      <c r="AD7" s="29">
        <f t="shared" si="10"/>
        <v>0</v>
      </c>
      <c r="AE7" s="28">
        <f t="shared" si="4"/>
        <v>0</v>
      </c>
      <c r="AF7" s="29">
        <f t="shared" si="11"/>
        <v>0</v>
      </c>
      <c r="AG7" s="28">
        <f t="shared" si="5"/>
        <v>1</v>
      </c>
      <c r="AH7" s="29">
        <f t="shared" si="12"/>
        <v>1596000</v>
      </c>
      <c r="AI7" s="28">
        <f t="shared" si="6"/>
        <v>0</v>
      </c>
      <c r="AJ7" s="29">
        <f t="shared" si="13"/>
        <v>0</v>
      </c>
    </row>
    <row r="8" spans="1:36" s="9" customFormat="1" ht="21.75" customHeight="1" x14ac:dyDescent="0.25">
      <c r="A8" s="2" t="s">
        <v>911</v>
      </c>
      <c r="B8" s="2" t="s">
        <v>526</v>
      </c>
      <c r="C8" s="2" t="s">
        <v>499</v>
      </c>
      <c r="D8" s="176" t="s">
        <v>500</v>
      </c>
      <c r="E8" s="2" t="s">
        <v>509</v>
      </c>
      <c r="F8" s="177">
        <v>5</v>
      </c>
      <c r="G8" s="13" t="s">
        <v>527</v>
      </c>
      <c r="H8" s="4" t="s">
        <v>528</v>
      </c>
      <c r="I8" s="212" t="s">
        <v>946</v>
      </c>
      <c r="J8" s="5" t="s">
        <v>529</v>
      </c>
      <c r="K8" s="3">
        <v>2</v>
      </c>
      <c r="L8" s="4" t="s">
        <v>505</v>
      </c>
      <c r="M8" s="5" t="s">
        <v>530</v>
      </c>
      <c r="N8" s="4" t="s">
        <v>507</v>
      </c>
      <c r="O8" s="6">
        <v>2.778</v>
      </c>
      <c r="P8" s="180">
        <v>36</v>
      </c>
      <c r="Q8" s="7">
        <v>100</v>
      </c>
      <c r="R8" s="179">
        <v>114943</v>
      </c>
      <c r="S8" s="8"/>
      <c r="T8" s="181">
        <v>1</v>
      </c>
      <c r="U8" s="179">
        <v>114943</v>
      </c>
      <c r="V8" s="23">
        <f t="shared" si="0"/>
        <v>40909</v>
      </c>
      <c r="W8" s="25">
        <f t="shared" si="7"/>
        <v>144</v>
      </c>
      <c r="X8" s="25"/>
      <c r="Y8" s="28">
        <f t="shared" si="1"/>
        <v>1</v>
      </c>
      <c r="Z8" s="29">
        <f t="shared" si="8"/>
        <v>114943</v>
      </c>
      <c r="AA8" s="28">
        <f t="shared" si="2"/>
        <v>0</v>
      </c>
      <c r="AB8" s="29">
        <f t="shared" si="9"/>
        <v>0</v>
      </c>
      <c r="AC8" s="28">
        <f t="shared" si="3"/>
        <v>0</v>
      </c>
      <c r="AD8" s="29">
        <f t="shared" si="10"/>
        <v>0</v>
      </c>
      <c r="AE8" s="28">
        <f t="shared" si="4"/>
        <v>0</v>
      </c>
      <c r="AF8" s="29">
        <f t="shared" si="11"/>
        <v>0</v>
      </c>
      <c r="AG8" s="28">
        <f t="shared" si="5"/>
        <v>0</v>
      </c>
      <c r="AH8" s="29">
        <f t="shared" si="12"/>
        <v>0</v>
      </c>
      <c r="AI8" s="28">
        <f t="shared" si="6"/>
        <v>0</v>
      </c>
      <c r="AJ8" s="29">
        <f t="shared" si="13"/>
        <v>0</v>
      </c>
    </row>
    <row r="9" spans="1:36" ht="21.75" customHeight="1" x14ac:dyDescent="0.25">
      <c r="A9" s="185" t="s">
        <v>912</v>
      </c>
      <c r="B9" s="185" t="s">
        <v>531</v>
      </c>
      <c r="C9" s="185" t="s">
        <v>520</v>
      </c>
      <c r="D9" s="186" t="s">
        <v>500</v>
      </c>
      <c r="E9" s="185" t="s">
        <v>509</v>
      </c>
      <c r="F9" s="187">
        <v>6</v>
      </c>
      <c r="G9" s="188" t="s">
        <v>532</v>
      </c>
      <c r="H9" s="189" t="s">
        <v>533</v>
      </c>
      <c r="I9" s="212" t="s">
        <v>946</v>
      </c>
      <c r="J9" s="183"/>
      <c r="K9" s="183"/>
      <c r="L9" s="189" t="s">
        <v>534</v>
      </c>
      <c r="M9" s="183" t="s">
        <v>535</v>
      </c>
      <c r="N9" s="189" t="s">
        <v>507</v>
      </c>
      <c r="O9" s="190">
        <v>2.778</v>
      </c>
      <c r="P9" s="191">
        <v>36</v>
      </c>
      <c r="Q9" s="192">
        <v>100</v>
      </c>
      <c r="R9" s="193">
        <v>7690</v>
      </c>
      <c r="S9" s="195"/>
      <c r="T9" s="194">
        <v>1</v>
      </c>
      <c r="U9" s="193">
        <v>7690</v>
      </c>
      <c r="V9" s="196">
        <f t="shared" si="0"/>
        <v>41334</v>
      </c>
      <c r="W9" s="197">
        <f t="shared" si="7"/>
        <v>130</v>
      </c>
      <c r="X9" s="197"/>
      <c r="Y9" s="198">
        <f t="shared" si="1"/>
        <v>1</v>
      </c>
      <c r="Z9" s="199">
        <f t="shared" si="8"/>
        <v>7690</v>
      </c>
      <c r="AA9" s="198">
        <f t="shared" si="2"/>
        <v>0</v>
      </c>
      <c r="AB9" s="199">
        <f t="shared" si="9"/>
        <v>0</v>
      </c>
      <c r="AC9" s="198">
        <f t="shared" si="3"/>
        <v>0</v>
      </c>
      <c r="AD9" s="199">
        <f t="shared" si="10"/>
        <v>0</v>
      </c>
      <c r="AE9" s="198">
        <f t="shared" si="4"/>
        <v>0</v>
      </c>
      <c r="AF9" s="199">
        <f t="shared" si="11"/>
        <v>0</v>
      </c>
      <c r="AG9" s="198">
        <f t="shared" si="5"/>
        <v>0</v>
      </c>
      <c r="AH9" s="199">
        <f t="shared" si="12"/>
        <v>0</v>
      </c>
      <c r="AI9" s="198">
        <f t="shared" si="6"/>
        <v>0</v>
      </c>
      <c r="AJ9" s="199">
        <f t="shared" si="13"/>
        <v>0</v>
      </c>
    </row>
    <row r="10" spans="1:36" ht="21.75" customHeight="1" x14ac:dyDescent="0.25">
      <c r="A10" s="185" t="s">
        <v>912</v>
      </c>
      <c r="B10" s="185" t="s">
        <v>531</v>
      </c>
      <c r="C10" s="185" t="s">
        <v>520</v>
      </c>
      <c r="D10" s="186" t="s">
        <v>508</v>
      </c>
      <c r="E10" s="185" t="s">
        <v>1101</v>
      </c>
      <c r="F10" s="187">
        <v>7</v>
      </c>
      <c r="G10" s="188" t="s">
        <v>1102</v>
      </c>
      <c r="H10" s="189" t="s">
        <v>1103</v>
      </c>
      <c r="I10" s="212" t="s">
        <v>946</v>
      </c>
      <c r="J10" s="183" t="s">
        <v>1104</v>
      </c>
      <c r="K10" s="201">
        <v>3</v>
      </c>
      <c r="L10" s="189" t="s">
        <v>534</v>
      </c>
      <c r="M10" s="183" t="s">
        <v>1105</v>
      </c>
      <c r="N10" s="189" t="s">
        <v>507</v>
      </c>
      <c r="O10" s="190">
        <v>1.667</v>
      </c>
      <c r="P10" s="191">
        <v>60</v>
      </c>
      <c r="Q10" s="192">
        <v>100</v>
      </c>
      <c r="R10" s="193">
        <v>54999</v>
      </c>
      <c r="S10" s="195"/>
      <c r="T10" s="194">
        <v>1</v>
      </c>
      <c r="U10" s="193">
        <v>54999</v>
      </c>
      <c r="V10" s="196">
        <f t="shared" si="0"/>
        <v>45292</v>
      </c>
      <c r="W10" s="197">
        <f t="shared" si="7"/>
        <v>0</v>
      </c>
      <c r="X10" s="197"/>
      <c r="Y10" s="198">
        <f t="shared" si="1"/>
        <v>0</v>
      </c>
      <c r="Z10" s="199">
        <f t="shared" si="8"/>
        <v>0</v>
      </c>
      <c r="AA10" s="198">
        <f t="shared" si="2"/>
        <v>0</v>
      </c>
      <c r="AB10" s="199">
        <f t="shared" si="9"/>
        <v>0</v>
      </c>
      <c r="AC10" s="198">
        <f t="shared" si="3"/>
        <v>0</v>
      </c>
      <c r="AD10" s="199">
        <f t="shared" si="10"/>
        <v>0</v>
      </c>
      <c r="AE10" s="198">
        <f t="shared" si="4"/>
        <v>0</v>
      </c>
      <c r="AF10" s="199">
        <f t="shared" si="11"/>
        <v>0</v>
      </c>
      <c r="AG10" s="198">
        <f t="shared" si="5"/>
        <v>0</v>
      </c>
      <c r="AH10" s="199">
        <f t="shared" si="12"/>
        <v>0</v>
      </c>
      <c r="AI10" s="198">
        <f t="shared" si="6"/>
        <v>1</v>
      </c>
      <c r="AJ10" s="199">
        <f t="shared" si="13"/>
        <v>54999</v>
      </c>
    </row>
    <row r="11" spans="1:36" ht="21.75" customHeight="1" x14ac:dyDescent="0.25">
      <c r="A11" s="185" t="s">
        <v>912</v>
      </c>
      <c r="B11" s="185" t="s">
        <v>531</v>
      </c>
      <c r="C11" s="185" t="s">
        <v>520</v>
      </c>
      <c r="D11" s="186" t="s">
        <v>508</v>
      </c>
      <c r="E11" s="185" t="s">
        <v>509</v>
      </c>
      <c r="F11" s="187">
        <v>8</v>
      </c>
      <c r="G11" s="188" t="s">
        <v>536</v>
      </c>
      <c r="H11" s="189" t="s">
        <v>537</v>
      </c>
      <c r="I11" s="212" t="s">
        <v>946</v>
      </c>
      <c r="J11" s="183" t="s">
        <v>538</v>
      </c>
      <c r="K11" s="183"/>
      <c r="L11" s="189" t="s">
        <v>534</v>
      </c>
      <c r="M11" s="183" t="s">
        <v>539</v>
      </c>
      <c r="N11" s="189" t="s">
        <v>507</v>
      </c>
      <c r="O11" s="190">
        <v>2.778</v>
      </c>
      <c r="P11" s="191">
        <v>36</v>
      </c>
      <c r="Q11" s="192">
        <v>100</v>
      </c>
      <c r="R11" s="193">
        <v>47890</v>
      </c>
      <c r="S11" s="195"/>
      <c r="T11" s="194">
        <v>1</v>
      </c>
      <c r="U11" s="193">
        <v>47890</v>
      </c>
      <c r="V11" s="196">
        <f t="shared" si="0"/>
        <v>44531</v>
      </c>
      <c r="W11" s="197">
        <f t="shared" si="7"/>
        <v>25</v>
      </c>
      <c r="X11" s="197"/>
      <c r="Y11" s="198">
        <f t="shared" si="1"/>
        <v>0</v>
      </c>
      <c r="Z11" s="199">
        <f t="shared" si="8"/>
        <v>0</v>
      </c>
      <c r="AA11" s="198">
        <f t="shared" si="2"/>
        <v>0</v>
      </c>
      <c r="AB11" s="199">
        <f t="shared" si="9"/>
        <v>0</v>
      </c>
      <c r="AC11" s="198">
        <f t="shared" si="3"/>
        <v>0</v>
      </c>
      <c r="AD11" s="199">
        <f t="shared" si="10"/>
        <v>0</v>
      </c>
      <c r="AE11" s="198">
        <f t="shared" si="4"/>
        <v>0</v>
      </c>
      <c r="AF11" s="199">
        <f t="shared" si="11"/>
        <v>0</v>
      </c>
      <c r="AG11" s="198">
        <f t="shared" si="5"/>
        <v>1</v>
      </c>
      <c r="AH11" s="199">
        <f t="shared" si="12"/>
        <v>47890</v>
      </c>
      <c r="AI11" s="198">
        <f t="shared" si="6"/>
        <v>0</v>
      </c>
      <c r="AJ11" s="199">
        <f t="shared" si="13"/>
        <v>0</v>
      </c>
    </row>
    <row r="12" spans="1:36" ht="21.75" customHeight="1" x14ac:dyDescent="0.25">
      <c r="A12" s="185" t="s">
        <v>912</v>
      </c>
      <c r="B12" s="185" t="s">
        <v>531</v>
      </c>
      <c r="C12" s="185" t="s">
        <v>520</v>
      </c>
      <c r="D12" s="186" t="s">
        <v>508</v>
      </c>
      <c r="E12" s="185" t="s">
        <v>509</v>
      </c>
      <c r="F12" s="187">
        <v>9</v>
      </c>
      <c r="G12" s="188" t="s">
        <v>1106</v>
      </c>
      <c r="H12" s="189" t="s">
        <v>1107</v>
      </c>
      <c r="I12" s="212" t="s">
        <v>946</v>
      </c>
      <c r="J12" s="183" t="s">
        <v>1108</v>
      </c>
      <c r="K12" s="201">
        <v>6</v>
      </c>
      <c r="L12" s="189" t="s">
        <v>505</v>
      </c>
      <c r="M12" s="183" t="s">
        <v>1109</v>
      </c>
      <c r="N12" s="189" t="s">
        <v>507</v>
      </c>
      <c r="O12" s="190">
        <v>0.83299999999999996</v>
      </c>
      <c r="P12" s="191">
        <v>120</v>
      </c>
      <c r="Q12" s="192">
        <v>7.5</v>
      </c>
      <c r="R12" s="193">
        <v>104211.3</v>
      </c>
      <c r="S12" s="195">
        <f>R12-U12</f>
        <v>96395.430000000008</v>
      </c>
      <c r="T12" s="194">
        <v>1</v>
      </c>
      <c r="U12" s="193">
        <v>7815.87</v>
      </c>
      <c r="V12" s="196">
        <f t="shared" si="0"/>
        <v>44986</v>
      </c>
      <c r="W12" s="197">
        <f t="shared" si="7"/>
        <v>10</v>
      </c>
      <c r="X12" s="25">
        <f>P12-W12</f>
        <v>110</v>
      </c>
      <c r="Y12" s="198">
        <f t="shared" si="1"/>
        <v>0</v>
      </c>
      <c r="Z12" s="199">
        <f t="shared" si="8"/>
        <v>0</v>
      </c>
      <c r="AA12" s="198">
        <f t="shared" si="2"/>
        <v>0</v>
      </c>
      <c r="AB12" s="199">
        <f t="shared" si="9"/>
        <v>0</v>
      </c>
      <c r="AC12" s="198">
        <f t="shared" si="3"/>
        <v>0</v>
      </c>
      <c r="AD12" s="199">
        <f t="shared" si="10"/>
        <v>0</v>
      </c>
      <c r="AE12" s="198">
        <f t="shared" si="4"/>
        <v>0</v>
      </c>
      <c r="AF12" s="199">
        <f t="shared" si="11"/>
        <v>0</v>
      </c>
      <c r="AG12" s="198">
        <f t="shared" si="5"/>
        <v>0</v>
      </c>
      <c r="AH12" s="199">
        <f t="shared" si="12"/>
        <v>0</v>
      </c>
      <c r="AI12" s="198">
        <f t="shared" si="6"/>
        <v>1</v>
      </c>
      <c r="AJ12" s="199">
        <f t="shared" si="13"/>
        <v>104211.3</v>
      </c>
    </row>
    <row r="13" spans="1:36" ht="21.75" customHeight="1" x14ac:dyDescent="0.25">
      <c r="A13" s="185" t="s">
        <v>912</v>
      </c>
      <c r="B13" s="185" t="s">
        <v>531</v>
      </c>
      <c r="C13" s="185" t="s">
        <v>499</v>
      </c>
      <c r="D13" s="186" t="s">
        <v>500</v>
      </c>
      <c r="E13" s="185" t="s">
        <v>1101</v>
      </c>
      <c r="F13" s="187">
        <v>10</v>
      </c>
      <c r="G13" s="188" t="s">
        <v>540</v>
      </c>
      <c r="H13" s="189" t="s">
        <v>544</v>
      </c>
      <c r="I13" s="212" t="s">
        <v>1293</v>
      </c>
      <c r="J13" s="183" t="s">
        <v>542</v>
      </c>
      <c r="K13" s="183"/>
      <c r="L13" s="189" t="s">
        <v>534</v>
      </c>
      <c r="M13" s="183" t="s">
        <v>543</v>
      </c>
      <c r="N13" s="189" t="s">
        <v>507</v>
      </c>
      <c r="O13" s="190">
        <v>1.667</v>
      </c>
      <c r="P13" s="191">
        <v>60</v>
      </c>
      <c r="Q13" s="192">
        <v>100</v>
      </c>
      <c r="R13" s="193">
        <v>54290</v>
      </c>
      <c r="S13" s="195"/>
      <c r="T13" s="194">
        <v>1</v>
      </c>
      <c r="U13" s="193">
        <v>54290</v>
      </c>
      <c r="V13" s="196">
        <f t="shared" si="0"/>
        <v>44621</v>
      </c>
      <c r="W13" s="197">
        <f t="shared" si="7"/>
        <v>22</v>
      </c>
      <c r="X13" s="197"/>
      <c r="Y13" s="198">
        <f t="shared" si="1"/>
        <v>0</v>
      </c>
      <c r="Z13" s="199">
        <f t="shared" si="8"/>
        <v>0</v>
      </c>
      <c r="AA13" s="198">
        <f t="shared" si="2"/>
        <v>0</v>
      </c>
      <c r="AB13" s="199">
        <f t="shared" si="9"/>
        <v>0</v>
      </c>
      <c r="AC13" s="198">
        <f t="shared" si="3"/>
        <v>0</v>
      </c>
      <c r="AD13" s="199">
        <f t="shared" si="10"/>
        <v>0</v>
      </c>
      <c r="AE13" s="198">
        <f t="shared" si="4"/>
        <v>0</v>
      </c>
      <c r="AF13" s="199">
        <f t="shared" si="11"/>
        <v>0</v>
      </c>
      <c r="AG13" s="198">
        <f t="shared" si="5"/>
        <v>1</v>
      </c>
      <c r="AH13" s="199">
        <f t="shared" si="12"/>
        <v>54290</v>
      </c>
      <c r="AI13" s="198">
        <f t="shared" si="6"/>
        <v>0</v>
      </c>
      <c r="AJ13" s="199">
        <f t="shared" si="13"/>
        <v>0</v>
      </c>
    </row>
    <row r="14" spans="1:36" ht="21.75" customHeight="1" x14ac:dyDescent="0.25">
      <c r="A14" s="185" t="s">
        <v>912</v>
      </c>
      <c r="B14" s="185" t="s">
        <v>531</v>
      </c>
      <c r="C14" s="185" t="s">
        <v>499</v>
      </c>
      <c r="D14" s="186" t="s">
        <v>500</v>
      </c>
      <c r="E14" s="185" t="s">
        <v>1101</v>
      </c>
      <c r="F14" s="187">
        <v>11</v>
      </c>
      <c r="G14" s="188" t="s">
        <v>540</v>
      </c>
      <c r="H14" s="189" t="s">
        <v>545</v>
      </c>
      <c r="I14" s="212" t="s">
        <v>1293</v>
      </c>
      <c r="J14" s="183" t="s">
        <v>542</v>
      </c>
      <c r="K14" s="183"/>
      <c r="L14" s="189" t="s">
        <v>534</v>
      </c>
      <c r="M14" s="183" t="s">
        <v>543</v>
      </c>
      <c r="N14" s="189" t="s">
        <v>507</v>
      </c>
      <c r="O14" s="190">
        <v>1.667</v>
      </c>
      <c r="P14" s="191">
        <v>60</v>
      </c>
      <c r="Q14" s="192">
        <v>100</v>
      </c>
      <c r="R14" s="193">
        <v>54290</v>
      </c>
      <c r="S14" s="195"/>
      <c r="T14" s="194">
        <v>1</v>
      </c>
      <c r="U14" s="193">
        <v>54290</v>
      </c>
      <c r="V14" s="196">
        <f t="shared" si="0"/>
        <v>44621</v>
      </c>
      <c r="W14" s="197">
        <f t="shared" si="7"/>
        <v>22</v>
      </c>
      <c r="X14" s="197"/>
      <c r="Y14" s="198">
        <f t="shared" si="1"/>
        <v>0</v>
      </c>
      <c r="Z14" s="199">
        <f t="shared" si="8"/>
        <v>0</v>
      </c>
      <c r="AA14" s="198">
        <f t="shared" si="2"/>
        <v>0</v>
      </c>
      <c r="AB14" s="199">
        <f t="shared" si="9"/>
        <v>0</v>
      </c>
      <c r="AC14" s="198">
        <f t="shared" si="3"/>
        <v>0</v>
      </c>
      <c r="AD14" s="199">
        <f t="shared" si="10"/>
        <v>0</v>
      </c>
      <c r="AE14" s="198">
        <f t="shared" si="4"/>
        <v>0</v>
      </c>
      <c r="AF14" s="199">
        <f t="shared" si="11"/>
        <v>0</v>
      </c>
      <c r="AG14" s="198">
        <f t="shared" si="5"/>
        <v>1</v>
      </c>
      <c r="AH14" s="199">
        <f t="shared" si="12"/>
        <v>54290</v>
      </c>
      <c r="AI14" s="198">
        <f t="shared" si="6"/>
        <v>0</v>
      </c>
      <c r="AJ14" s="199">
        <f t="shared" si="13"/>
        <v>0</v>
      </c>
    </row>
    <row r="15" spans="1:36" ht="21.75" customHeight="1" x14ac:dyDescent="0.25">
      <c r="A15" s="185" t="s">
        <v>912</v>
      </c>
      <c r="B15" s="185" t="s">
        <v>531</v>
      </c>
      <c r="C15" s="185" t="s">
        <v>499</v>
      </c>
      <c r="D15" s="186" t="s">
        <v>500</v>
      </c>
      <c r="E15" s="185" t="s">
        <v>1101</v>
      </c>
      <c r="F15" s="187">
        <v>12</v>
      </c>
      <c r="G15" s="188" t="s">
        <v>540</v>
      </c>
      <c r="H15" s="189" t="s">
        <v>546</v>
      </c>
      <c r="I15" s="212" t="s">
        <v>1293</v>
      </c>
      <c r="J15" s="183" t="s">
        <v>542</v>
      </c>
      <c r="K15" s="183"/>
      <c r="L15" s="189" t="s">
        <v>534</v>
      </c>
      <c r="M15" s="183" t="s">
        <v>543</v>
      </c>
      <c r="N15" s="189" t="s">
        <v>507</v>
      </c>
      <c r="O15" s="190">
        <v>1.667</v>
      </c>
      <c r="P15" s="191">
        <v>60</v>
      </c>
      <c r="Q15" s="192">
        <v>100</v>
      </c>
      <c r="R15" s="193">
        <v>54290</v>
      </c>
      <c r="S15" s="195"/>
      <c r="T15" s="194">
        <v>1</v>
      </c>
      <c r="U15" s="193">
        <v>54290</v>
      </c>
      <c r="V15" s="196">
        <f t="shared" si="0"/>
        <v>44621</v>
      </c>
      <c r="W15" s="197">
        <f t="shared" si="7"/>
        <v>22</v>
      </c>
      <c r="X15" s="197"/>
      <c r="Y15" s="198">
        <f t="shared" si="1"/>
        <v>0</v>
      </c>
      <c r="Z15" s="199">
        <f t="shared" si="8"/>
        <v>0</v>
      </c>
      <c r="AA15" s="198">
        <f t="shared" si="2"/>
        <v>0</v>
      </c>
      <c r="AB15" s="199">
        <f t="shared" si="9"/>
        <v>0</v>
      </c>
      <c r="AC15" s="198">
        <f t="shared" si="3"/>
        <v>0</v>
      </c>
      <c r="AD15" s="199">
        <f t="shared" si="10"/>
        <v>0</v>
      </c>
      <c r="AE15" s="198">
        <f t="shared" si="4"/>
        <v>0</v>
      </c>
      <c r="AF15" s="199">
        <f t="shared" si="11"/>
        <v>0</v>
      </c>
      <c r="AG15" s="198">
        <f t="shared" si="5"/>
        <v>1</v>
      </c>
      <c r="AH15" s="199">
        <f t="shared" si="12"/>
        <v>54290</v>
      </c>
      <c r="AI15" s="198">
        <f t="shared" si="6"/>
        <v>0</v>
      </c>
      <c r="AJ15" s="199">
        <f t="shared" si="13"/>
        <v>0</v>
      </c>
    </row>
    <row r="16" spans="1:36" ht="21.75" customHeight="1" x14ac:dyDescent="0.25">
      <c r="A16" s="185" t="s">
        <v>912</v>
      </c>
      <c r="B16" s="185" t="s">
        <v>531</v>
      </c>
      <c r="C16" s="185" t="s">
        <v>499</v>
      </c>
      <c r="D16" s="186" t="s">
        <v>500</v>
      </c>
      <c r="E16" s="185" t="s">
        <v>1101</v>
      </c>
      <c r="F16" s="187">
        <v>13</v>
      </c>
      <c r="G16" s="188" t="s">
        <v>540</v>
      </c>
      <c r="H16" s="189" t="s">
        <v>547</v>
      </c>
      <c r="I16" s="212" t="s">
        <v>1293</v>
      </c>
      <c r="J16" s="183" t="s">
        <v>542</v>
      </c>
      <c r="K16" s="183"/>
      <c r="L16" s="189" t="s">
        <v>534</v>
      </c>
      <c r="M16" s="183" t="s">
        <v>543</v>
      </c>
      <c r="N16" s="189" t="s">
        <v>507</v>
      </c>
      <c r="O16" s="190">
        <v>1.667</v>
      </c>
      <c r="P16" s="191">
        <v>60</v>
      </c>
      <c r="Q16" s="192">
        <v>100</v>
      </c>
      <c r="R16" s="193">
        <v>54290</v>
      </c>
      <c r="S16" s="195"/>
      <c r="T16" s="194">
        <v>1</v>
      </c>
      <c r="U16" s="193">
        <v>54290</v>
      </c>
      <c r="V16" s="196">
        <f t="shared" si="0"/>
        <v>44621</v>
      </c>
      <c r="W16" s="197">
        <f t="shared" si="7"/>
        <v>22</v>
      </c>
      <c r="X16" s="197"/>
      <c r="Y16" s="198">
        <f t="shared" si="1"/>
        <v>0</v>
      </c>
      <c r="Z16" s="199">
        <f t="shared" si="8"/>
        <v>0</v>
      </c>
      <c r="AA16" s="198">
        <f t="shared" si="2"/>
        <v>0</v>
      </c>
      <c r="AB16" s="199">
        <f t="shared" si="9"/>
        <v>0</v>
      </c>
      <c r="AC16" s="198">
        <f t="shared" si="3"/>
        <v>0</v>
      </c>
      <c r="AD16" s="199">
        <f t="shared" si="10"/>
        <v>0</v>
      </c>
      <c r="AE16" s="198">
        <f t="shared" si="4"/>
        <v>0</v>
      </c>
      <c r="AF16" s="199">
        <f t="shared" si="11"/>
        <v>0</v>
      </c>
      <c r="AG16" s="198">
        <f t="shared" si="5"/>
        <v>1</v>
      </c>
      <c r="AH16" s="199">
        <f t="shared" si="12"/>
        <v>54290</v>
      </c>
      <c r="AI16" s="198">
        <f t="shared" si="6"/>
        <v>0</v>
      </c>
      <c r="AJ16" s="199">
        <f t="shared" si="13"/>
        <v>0</v>
      </c>
    </row>
    <row r="17" spans="1:36" ht="21.75" customHeight="1" x14ac:dyDescent="0.25">
      <c r="A17" s="185" t="s">
        <v>912</v>
      </c>
      <c r="B17" s="185" t="s">
        <v>531</v>
      </c>
      <c r="C17" s="185" t="s">
        <v>499</v>
      </c>
      <c r="D17" s="186" t="s">
        <v>500</v>
      </c>
      <c r="E17" s="185" t="s">
        <v>1101</v>
      </c>
      <c r="F17" s="187">
        <v>14</v>
      </c>
      <c r="G17" s="188" t="s">
        <v>540</v>
      </c>
      <c r="H17" s="189" t="s">
        <v>541</v>
      </c>
      <c r="I17" s="212" t="s">
        <v>1293</v>
      </c>
      <c r="J17" s="183" t="s">
        <v>542</v>
      </c>
      <c r="K17" s="183"/>
      <c r="L17" s="189" t="s">
        <v>534</v>
      </c>
      <c r="M17" s="183" t="s">
        <v>543</v>
      </c>
      <c r="N17" s="189" t="s">
        <v>507</v>
      </c>
      <c r="O17" s="190">
        <v>1.667</v>
      </c>
      <c r="P17" s="191">
        <v>60</v>
      </c>
      <c r="Q17" s="192">
        <v>100</v>
      </c>
      <c r="R17" s="193">
        <v>54290</v>
      </c>
      <c r="S17" s="195"/>
      <c r="T17" s="194">
        <v>1</v>
      </c>
      <c r="U17" s="193">
        <v>54290</v>
      </c>
      <c r="V17" s="196">
        <f t="shared" si="0"/>
        <v>44621</v>
      </c>
      <c r="W17" s="197">
        <f t="shared" si="7"/>
        <v>22</v>
      </c>
      <c r="X17" s="197"/>
      <c r="Y17" s="198">
        <f t="shared" si="1"/>
        <v>0</v>
      </c>
      <c r="Z17" s="199">
        <f t="shared" si="8"/>
        <v>0</v>
      </c>
      <c r="AA17" s="198">
        <f t="shared" si="2"/>
        <v>0</v>
      </c>
      <c r="AB17" s="199">
        <f t="shared" si="9"/>
        <v>0</v>
      </c>
      <c r="AC17" s="198">
        <f t="shared" si="3"/>
        <v>0</v>
      </c>
      <c r="AD17" s="199">
        <f t="shared" si="10"/>
        <v>0</v>
      </c>
      <c r="AE17" s="198">
        <f t="shared" si="4"/>
        <v>0</v>
      </c>
      <c r="AF17" s="199">
        <f t="shared" si="11"/>
        <v>0</v>
      </c>
      <c r="AG17" s="198">
        <f t="shared" si="5"/>
        <v>1</v>
      </c>
      <c r="AH17" s="199">
        <f t="shared" si="12"/>
        <v>54290</v>
      </c>
      <c r="AI17" s="198">
        <f t="shared" si="6"/>
        <v>0</v>
      </c>
      <c r="AJ17" s="199">
        <f t="shared" si="13"/>
        <v>0</v>
      </c>
    </row>
    <row r="18" spans="1:36" ht="21.75" customHeight="1" x14ac:dyDescent="0.25">
      <c r="A18" s="185" t="s">
        <v>912</v>
      </c>
      <c r="B18" s="185" t="s">
        <v>531</v>
      </c>
      <c r="C18" s="185" t="s">
        <v>499</v>
      </c>
      <c r="D18" s="186" t="s">
        <v>500</v>
      </c>
      <c r="E18" s="185" t="s">
        <v>1101</v>
      </c>
      <c r="F18" s="187">
        <v>15</v>
      </c>
      <c r="G18" s="188" t="s">
        <v>548</v>
      </c>
      <c r="H18" s="189" t="s">
        <v>549</v>
      </c>
      <c r="I18" s="212" t="s">
        <v>1293</v>
      </c>
      <c r="J18" s="183" t="s">
        <v>542</v>
      </c>
      <c r="K18" s="183"/>
      <c r="L18" s="189" t="s">
        <v>534</v>
      </c>
      <c r="M18" s="183" t="s">
        <v>543</v>
      </c>
      <c r="N18" s="189" t="s">
        <v>507</v>
      </c>
      <c r="O18" s="190">
        <v>1.667</v>
      </c>
      <c r="P18" s="191">
        <v>60</v>
      </c>
      <c r="Q18" s="192">
        <v>100</v>
      </c>
      <c r="R18" s="193">
        <v>55863</v>
      </c>
      <c r="S18" s="195"/>
      <c r="T18" s="194">
        <v>1</v>
      </c>
      <c r="U18" s="193">
        <v>55863</v>
      </c>
      <c r="V18" s="196">
        <f t="shared" si="0"/>
        <v>44621</v>
      </c>
      <c r="W18" s="197">
        <f t="shared" si="7"/>
        <v>22</v>
      </c>
      <c r="X18" s="197"/>
      <c r="Y18" s="198">
        <f t="shared" si="1"/>
        <v>0</v>
      </c>
      <c r="Z18" s="199">
        <f t="shared" si="8"/>
        <v>0</v>
      </c>
      <c r="AA18" s="198">
        <f t="shared" si="2"/>
        <v>0</v>
      </c>
      <c r="AB18" s="199">
        <f t="shared" si="9"/>
        <v>0</v>
      </c>
      <c r="AC18" s="198">
        <f t="shared" si="3"/>
        <v>0</v>
      </c>
      <c r="AD18" s="199">
        <f t="shared" si="10"/>
        <v>0</v>
      </c>
      <c r="AE18" s="198">
        <f t="shared" si="4"/>
        <v>0</v>
      </c>
      <c r="AF18" s="199">
        <f t="shared" si="11"/>
        <v>0</v>
      </c>
      <c r="AG18" s="198">
        <f t="shared" si="5"/>
        <v>1</v>
      </c>
      <c r="AH18" s="199">
        <f t="shared" si="12"/>
        <v>55863</v>
      </c>
      <c r="AI18" s="198">
        <f t="shared" si="6"/>
        <v>0</v>
      </c>
      <c r="AJ18" s="199">
        <f t="shared" si="13"/>
        <v>0</v>
      </c>
    </row>
    <row r="19" spans="1:36" ht="21.75" customHeight="1" x14ac:dyDescent="0.25">
      <c r="A19" s="185" t="s">
        <v>912</v>
      </c>
      <c r="B19" s="185" t="s">
        <v>531</v>
      </c>
      <c r="C19" s="185" t="s">
        <v>499</v>
      </c>
      <c r="D19" s="186" t="s">
        <v>500</v>
      </c>
      <c r="E19" s="185" t="s">
        <v>1101</v>
      </c>
      <c r="F19" s="187">
        <v>16</v>
      </c>
      <c r="G19" s="188" t="s">
        <v>555</v>
      </c>
      <c r="H19" s="189" t="s">
        <v>556</v>
      </c>
      <c r="I19" s="212" t="s">
        <v>1293</v>
      </c>
      <c r="J19" s="183" t="s">
        <v>542</v>
      </c>
      <c r="K19" s="183"/>
      <c r="L19" s="189" t="s">
        <v>534</v>
      </c>
      <c r="M19" s="183" t="s">
        <v>553</v>
      </c>
      <c r="N19" s="189" t="s">
        <v>507</v>
      </c>
      <c r="O19" s="202" t="s">
        <v>554</v>
      </c>
      <c r="P19" s="203"/>
      <c r="Q19" s="192">
        <v>100</v>
      </c>
      <c r="R19" s="193">
        <v>95890</v>
      </c>
      <c r="S19" s="195"/>
      <c r="T19" s="194">
        <v>1</v>
      </c>
      <c r="U19" s="193">
        <v>95890</v>
      </c>
      <c r="V19" s="196">
        <f t="shared" si="0"/>
        <v>44896</v>
      </c>
      <c r="W19" s="197">
        <f t="shared" si="7"/>
        <v>13</v>
      </c>
      <c r="X19" s="197"/>
      <c r="Y19" s="198">
        <f t="shared" si="1"/>
        <v>0</v>
      </c>
      <c r="Z19" s="199">
        <f t="shared" si="8"/>
        <v>0</v>
      </c>
      <c r="AA19" s="198">
        <f t="shared" si="2"/>
        <v>0</v>
      </c>
      <c r="AB19" s="199">
        <f t="shared" si="9"/>
        <v>0</v>
      </c>
      <c r="AC19" s="198">
        <f t="shared" si="3"/>
        <v>0</v>
      </c>
      <c r="AD19" s="199">
        <f t="shared" si="10"/>
        <v>0</v>
      </c>
      <c r="AE19" s="198">
        <f t="shared" si="4"/>
        <v>0</v>
      </c>
      <c r="AF19" s="199">
        <f t="shared" si="11"/>
        <v>0</v>
      </c>
      <c r="AG19" s="198">
        <f t="shared" si="5"/>
        <v>1</v>
      </c>
      <c r="AH19" s="199">
        <f t="shared" si="12"/>
        <v>95890</v>
      </c>
      <c r="AI19" s="198">
        <f t="shared" si="6"/>
        <v>0</v>
      </c>
      <c r="AJ19" s="199">
        <f t="shared" si="13"/>
        <v>0</v>
      </c>
    </row>
    <row r="20" spans="1:36" ht="21.75" customHeight="1" x14ac:dyDescent="0.25">
      <c r="A20" s="185" t="s">
        <v>912</v>
      </c>
      <c r="B20" s="185" t="s">
        <v>531</v>
      </c>
      <c r="C20" s="185" t="s">
        <v>499</v>
      </c>
      <c r="D20" s="186" t="s">
        <v>500</v>
      </c>
      <c r="E20" s="185" t="s">
        <v>1101</v>
      </c>
      <c r="F20" s="187">
        <v>17</v>
      </c>
      <c r="G20" s="188" t="s">
        <v>571</v>
      </c>
      <c r="H20" s="189" t="s">
        <v>572</v>
      </c>
      <c r="I20" s="212" t="s">
        <v>1293</v>
      </c>
      <c r="J20" s="183"/>
      <c r="K20" s="183"/>
      <c r="L20" s="189" t="s">
        <v>534</v>
      </c>
      <c r="M20" s="183" t="s">
        <v>573</v>
      </c>
      <c r="N20" s="189" t="s">
        <v>507</v>
      </c>
      <c r="O20" s="202" t="s">
        <v>554</v>
      </c>
      <c r="P20" s="203"/>
      <c r="Q20" s="192">
        <v>100</v>
      </c>
      <c r="R20" s="193">
        <v>3845</v>
      </c>
      <c r="S20" s="195"/>
      <c r="T20" s="194">
        <v>1</v>
      </c>
      <c r="U20" s="193">
        <v>3845</v>
      </c>
      <c r="V20" s="196">
        <f t="shared" si="0"/>
        <v>40878</v>
      </c>
      <c r="W20" s="197">
        <f t="shared" si="7"/>
        <v>145</v>
      </c>
      <c r="X20" s="197"/>
      <c r="Y20" s="198">
        <f t="shared" si="1"/>
        <v>1</v>
      </c>
      <c r="Z20" s="199">
        <f t="shared" si="8"/>
        <v>3845</v>
      </c>
      <c r="AA20" s="198">
        <f t="shared" si="2"/>
        <v>0</v>
      </c>
      <c r="AB20" s="199">
        <f t="shared" si="9"/>
        <v>0</v>
      </c>
      <c r="AC20" s="198">
        <f t="shared" si="3"/>
        <v>0</v>
      </c>
      <c r="AD20" s="199">
        <f t="shared" si="10"/>
        <v>0</v>
      </c>
      <c r="AE20" s="198">
        <f t="shared" si="4"/>
        <v>0</v>
      </c>
      <c r="AF20" s="199">
        <f t="shared" si="11"/>
        <v>0</v>
      </c>
      <c r="AG20" s="198">
        <f t="shared" si="5"/>
        <v>0</v>
      </c>
      <c r="AH20" s="199">
        <f t="shared" si="12"/>
        <v>0</v>
      </c>
      <c r="AI20" s="198">
        <f t="shared" si="6"/>
        <v>0</v>
      </c>
      <c r="AJ20" s="199">
        <f t="shared" si="13"/>
        <v>0</v>
      </c>
    </row>
    <row r="21" spans="1:36" ht="21.75" customHeight="1" x14ac:dyDescent="0.25">
      <c r="A21" s="185" t="s">
        <v>912</v>
      </c>
      <c r="B21" s="185" t="s">
        <v>531</v>
      </c>
      <c r="C21" s="185" t="s">
        <v>499</v>
      </c>
      <c r="D21" s="186" t="s">
        <v>500</v>
      </c>
      <c r="E21" s="185" t="s">
        <v>1101</v>
      </c>
      <c r="F21" s="187">
        <v>18</v>
      </c>
      <c r="G21" s="188" t="s">
        <v>587</v>
      </c>
      <c r="H21" s="189" t="s">
        <v>589</v>
      </c>
      <c r="I21" s="212" t="s">
        <v>1293</v>
      </c>
      <c r="J21" s="183"/>
      <c r="K21" s="183"/>
      <c r="L21" s="189" t="s">
        <v>534</v>
      </c>
      <c r="M21" s="183" t="s">
        <v>530</v>
      </c>
      <c r="N21" s="189" t="s">
        <v>507</v>
      </c>
      <c r="O21" s="202" t="s">
        <v>554</v>
      </c>
      <c r="P21" s="203"/>
      <c r="Q21" s="192">
        <v>100</v>
      </c>
      <c r="R21" s="193">
        <v>15587.94</v>
      </c>
      <c r="S21" s="195"/>
      <c r="T21" s="194">
        <v>1</v>
      </c>
      <c r="U21" s="193">
        <v>15587.94</v>
      </c>
      <c r="V21" s="196">
        <f t="shared" si="0"/>
        <v>40909</v>
      </c>
      <c r="W21" s="197">
        <f t="shared" si="7"/>
        <v>144</v>
      </c>
      <c r="X21" s="197"/>
      <c r="Y21" s="198">
        <f t="shared" si="1"/>
        <v>1</v>
      </c>
      <c r="Z21" s="199">
        <f t="shared" si="8"/>
        <v>15587.94</v>
      </c>
      <c r="AA21" s="198">
        <f t="shared" si="2"/>
        <v>0</v>
      </c>
      <c r="AB21" s="199">
        <f t="shared" si="9"/>
        <v>0</v>
      </c>
      <c r="AC21" s="198">
        <f t="shared" si="3"/>
        <v>0</v>
      </c>
      <c r="AD21" s="199">
        <f t="shared" si="10"/>
        <v>0</v>
      </c>
      <c r="AE21" s="198">
        <f t="shared" si="4"/>
        <v>0</v>
      </c>
      <c r="AF21" s="199">
        <f t="shared" si="11"/>
        <v>0</v>
      </c>
      <c r="AG21" s="198">
        <f t="shared" si="5"/>
        <v>0</v>
      </c>
      <c r="AH21" s="199">
        <f t="shared" si="12"/>
        <v>0</v>
      </c>
      <c r="AI21" s="198">
        <f t="shared" si="6"/>
        <v>0</v>
      </c>
      <c r="AJ21" s="199">
        <f t="shared" si="13"/>
        <v>0</v>
      </c>
    </row>
    <row r="22" spans="1:36" ht="21.75" customHeight="1" x14ac:dyDescent="0.25">
      <c r="A22" s="185" t="s">
        <v>912</v>
      </c>
      <c r="B22" s="185" t="s">
        <v>531</v>
      </c>
      <c r="C22" s="185" t="s">
        <v>499</v>
      </c>
      <c r="D22" s="186" t="s">
        <v>500</v>
      </c>
      <c r="E22" s="185" t="s">
        <v>509</v>
      </c>
      <c r="F22" s="187">
        <v>19</v>
      </c>
      <c r="G22" s="188" t="s">
        <v>550</v>
      </c>
      <c r="H22" s="189" t="s">
        <v>551</v>
      </c>
      <c r="I22" s="212" t="s">
        <v>946</v>
      </c>
      <c r="J22" s="183" t="s">
        <v>552</v>
      </c>
      <c r="K22" s="183"/>
      <c r="L22" s="189" t="s">
        <v>534</v>
      </c>
      <c r="M22" s="183" t="s">
        <v>553</v>
      </c>
      <c r="N22" s="189" t="s">
        <v>507</v>
      </c>
      <c r="O22" s="202" t="s">
        <v>554</v>
      </c>
      <c r="P22" s="203"/>
      <c r="Q22" s="192">
        <v>100</v>
      </c>
      <c r="R22" s="193">
        <v>63890</v>
      </c>
      <c r="S22" s="195"/>
      <c r="T22" s="194">
        <v>1</v>
      </c>
      <c r="U22" s="193">
        <v>63890</v>
      </c>
      <c r="V22" s="196">
        <f t="shared" si="0"/>
        <v>44896</v>
      </c>
      <c r="W22" s="197">
        <f t="shared" si="7"/>
        <v>13</v>
      </c>
      <c r="X22" s="197"/>
      <c r="Y22" s="198">
        <f t="shared" si="1"/>
        <v>0</v>
      </c>
      <c r="Z22" s="199">
        <f t="shared" si="8"/>
        <v>0</v>
      </c>
      <c r="AA22" s="198">
        <f t="shared" si="2"/>
        <v>0</v>
      </c>
      <c r="AB22" s="199">
        <f t="shared" si="9"/>
        <v>0</v>
      </c>
      <c r="AC22" s="198">
        <f t="shared" si="3"/>
        <v>0</v>
      </c>
      <c r="AD22" s="199">
        <f t="shared" si="10"/>
        <v>0</v>
      </c>
      <c r="AE22" s="198">
        <f t="shared" si="4"/>
        <v>0</v>
      </c>
      <c r="AF22" s="199">
        <f t="shared" si="11"/>
        <v>0</v>
      </c>
      <c r="AG22" s="198">
        <f t="shared" si="5"/>
        <v>1</v>
      </c>
      <c r="AH22" s="199">
        <f t="shared" si="12"/>
        <v>63890</v>
      </c>
      <c r="AI22" s="198">
        <f t="shared" si="6"/>
        <v>0</v>
      </c>
      <c r="AJ22" s="199">
        <f t="shared" si="13"/>
        <v>0</v>
      </c>
    </row>
    <row r="23" spans="1:36" ht="21.75" customHeight="1" x14ac:dyDescent="0.25">
      <c r="A23" s="185" t="s">
        <v>912</v>
      </c>
      <c r="B23" s="185" t="s">
        <v>531</v>
      </c>
      <c r="C23" s="185" t="s">
        <v>499</v>
      </c>
      <c r="D23" s="186" t="s">
        <v>500</v>
      </c>
      <c r="E23" s="185" t="s">
        <v>509</v>
      </c>
      <c r="F23" s="187">
        <v>20</v>
      </c>
      <c r="G23" s="188" t="s">
        <v>557</v>
      </c>
      <c r="H23" s="189" t="s">
        <v>561</v>
      </c>
      <c r="I23" s="212" t="s">
        <v>946</v>
      </c>
      <c r="J23" s="183"/>
      <c r="K23" s="183"/>
      <c r="L23" s="189" t="s">
        <v>534</v>
      </c>
      <c r="M23" s="183" t="s">
        <v>559</v>
      </c>
      <c r="N23" s="189" t="s">
        <v>507</v>
      </c>
      <c r="O23" s="202" t="s">
        <v>554</v>
      </c>
      <c r="P23" s="203"/>
      <c r="Q23" s="192">
        <v>100</v>
      </c>
      <c r="R23" s="193">
        <v>14050</v>
      </c>
      <c r="S23" s="195"/>
      <c r="T23" s="194">
        <v>1</v>
      </c>
      <c r="U23" s="193">
        <v>14050</v>
      </c>
      <c r="V23" s="196">
        <f t="shared" si="0"/>
        <v>41852</v>
      </c>
      <c r="W23" s="197">
        <f t="shared" si="7"/>
        <v>113</v>
      </c>
      <c r="X23" s="197"/>
      <c r="Y23" s="198">
        <f t="shared" si="1"/>
        <v>0</v>
      </c>
      <c r="Z23" s="199">
        <f t="shared" si="8"/>
        <v>0</v>
      </c>
      <c r="AA23" s="198">
        <f t="shared" si="2"/>
        <v>1</v>
      </c>
      <c r="AB23" s="199">
        <f t="shared" si="9"/>
        <v>14050</v>
      </c>
      <c r="AC23" s="198">
        <f t="shared" si="3"/>
        <v>0</v>
      </c>
      <c r="AD23" s="199">
        <f t="shared" si="10"/>
        <v>0</v>
      </c>
      <c r="AE23" s="198">
        <f t="shared" si="4"/>
        <v>0</v>
      </c>
      <c r="AF23" s="199">
        <f t="shared" si="11"/>
        <v>0</v>
      </c>
      <c r="AG23" s="198">
        <f t="shared" si="5"/>
        <v>0</v>
      </c>
      <c r="AH23" s="199">
        <f t="shared" si="12"/>
        <v>0</v>
      </c>
      <c r="AI23" s="198">
        <f t="shared" si="6"/>
        <v>0</v>
      </c>
      <c r="AJ23" s="199">
        <f t="shared" si="13"/>
        <v>0</v>
      </c>
    </row>
    <row r="24" spans="1:36" ht="21.75" customHeight="1" x14ac:dyDescent="0.25">
      <c r="A24" s="185" t="s">
        <v>912</v>
      </c>
      <c r="B24" s="185" t="s">
        <v>531</v>
      </c>
      <c r="C24" s="185" t="s">
        <v>499</v>
      </c>
      <c r="D24" s="186" t="s">
        <v>500</v>
      </c>
      <c r="E24" s="185" t="s">
        <v>509</v>
      </c>
      <c r="F24" s="187">
        <v>21</v>
      </c>
      <c r="G24" s="188" t="s">
        <v>557</v>
      </c>
      <c r="H24" s="189" t="s">
        <v>560</v>
      </c>
      <c r="I24" s="212" t="s">
        <v>946</v>
      </c>
      <c r="J24" s="183"/>
      <c r="K24" s="183"/>
      <c r="L24" s="189" t="s">
        <v>534</v>
      </c>
      <c r="M24" s="183" t="s">
        <v>559</v>
      </c>
      <c r="N24" s="189" t="s">
        <v>507</v>
      </c>
      <c r="O24" s="202" t="s">
        <v>554</v>
      </c>
      <c r="P24" s="203"/>
      <c r="Q24" s="192">
        <v>100</v>
      </c>
      <c r="R24" s="193">
        <v>14050</v>
      </c>
      <c r="S24" s="195"/>
      <c r="T24" s="194">
        <v>1</v>
      </c>
      <c r="U24" s="193">
        <v>14050</v>
      </c>
      <c r="V24" s="196">
        <f t="shared" si="0"/>
        <v>41852</v>
      </c>
      <c r="W24" s="197">
        <f t="shared" si="7"/>
        <v>113</v>
      </c>
      <c r="X24" s="197"/>
      <c r="Y24" s="198">
        <f t="shared" si="1"/>
        <v>0</v>
      </c>
      <c r="Z24" s="199">
        <f t="shared" si="8"/>
        <v>0</v>
      </c>
      <c r="AA24" s="198">
        <f t="shared" si="2"/>
        <v>1</v>
      </c>
      <c r="AB24" s="199">
        <f t="shared" si="9"/>
        <v>14050</v>
      </c>
      <c r="AC24" s="198">
        <f t="shared" si="3"/>
        <v>0</v>
      </c>
      <c r="AD24" s="199">
        <f t="shared" si="10"/>
        <v>0</v>
      </c>
      <c r="AE24" s="198">
        <f t="shared" si="4"/>
        <v>0</v>
      </c>
      <c r="AF24" s="199">
        <f t="shared" si="11"/>
        <v>0</v>
      </c>
      <c r="AG24" s="198">
        <f t="shared" si="5"/>
        <v>0</v>
      </c>
      <c r="AH24" s="199">
        <f t="shared" si="12"/>
        <v>0</v>
      </c>
      <c r="AI24" s="198">
        <f t="shared" si="6"/>
        <v>0</v>
      </c>
      <c r="AJ24" s="199">
        <f t="shared" si="13"/>
        <v>0</v>
      </c>
    </row>
    <row r="25" spans="1:36" ht="21.75" customHeight="1" x14ac:dyDescent="0.25">
      <c r="A25" s="185" t="s">
        <v>912</v>
      </c>
      <c r="B25" s="185" t="s">
        <v>531</v>
      </c>
      <c r="C25" s="185" t="s">
        <v>499</v>
      </c>
      <c r="D25" s="186" t="s">
        <v>500</v>
      </c>
      <c r="E25" s="185" t="s">
        <v>509</v>
      </c>
      <c r="F25" s="187">
        <v>22</v>
      </c>
      <c r="G25" s="188" t="s">
        <v>557</v>
      </c>
      <c r="H25" s="189" t="s">
        <v>558</v>
      </c>
      <c r="I25" s="212" t="s">
        <v>946</v>
      </c>
      <c r="J25" s="183"/>
      <c r="K25" s="183"/>
      <c r="L25" s="189" t="s">
        <v>534</v>
      </c>
      <c r="M25" s="183" t="s">
        <v>559</v>
      </c>
      <c r="N25" s="189" t="s">
        <v>507</v>
      </c>
      <c r="O25" s="202" t="s">
        <v>554</v>
      </c>
      <c r="P25" s="203"/>
      <c r="Q25" s="192">
        <v>100</v>
      </c>
      <c r="R25" s="193">
        <v>14050</v>
      </c>
      <c r="S25" s="195"/>
      <c r="T25" s="194">
        <v>1</v>
      </c>
      <c r="U25" s="193">
        <v>14050</v>
      </c>
      <c r="V25" s="196">
        <f t="shared" si="0"/>
        <v>41852</v>
      </c>
      <c r="W25" s="197">
        <f t="shared" si="7"/>
        <v>113</v>
      </c>
      <c r="X25" s="197"/>
      <c r="Y25" s="198">
        <f t="shared" si="1"/>
        <v>0</v>
      </c>
      <c r="Z25" s="199">
        <f t="shared" si="8"/>
        <v>0</v>
      </c>
      <c r="AA25" s="198">
        <f t="shared" si="2"/>
        <v>1</v>
      </c>
      <c r="AB25" s="199">
        <f t="shared" si="9"/>
        <v>14050</v>
      </c>
      <c r="AC25" s="198">
        <f t="shared" si="3"/>
        <v>0</v>
      </c>
      <c r="AD25" s="199">
        <f t="shared" si="10"/>
        <v>0</v>
      </c>
      <c r="AE25" s="198">
        <f t="shared" si="4"/>
        <v>0</v>
      </c>
      <c r="AF25" s="199">
        <f t="shared" si="11"/>
        <v>0</v>
      </c>
      <c r="AG25" s="198">
        <f t="shared" si="5"/>
        <v>0</v>
      </c>
      <c r="AH25" s="199">
        <f t="shared" si="12"/>
        <v>0</v>
      </c>
      <c r="AI25" s="198">
        <f t="shared" si="6"/>
        <v>0</v>
      </c>
      <c r="AJ25" s="199">
        <f t="shared" si="13"/>
        <v>0</v>
      </c>
    </row>
    <row r="26" spans="1:36" ht="21.75" customHeight="1" x14ac:dyDescent="0.25">
      <c r="A26" s="185" t="s">
        <v>912</v>
      </c>
      <c r="B26" s="185" t="s">
        <v>531</v>
      </c>
      <c r="C26" s="185" t="s">
        <v>499</v>
      </c>
      <c r="D26" s="186" t="s">
        <v>500</v>
      </c>
      <c r="E26" s="185" t="s">
        <v>509</v>
      </c>
      <c r="F26" s="187">
        <v>23</v>
      </c>
      <c r="G26" s="188" t="s">
        <v>557</v>
      </c>
      <c r="H26" s="189" t="s">
        <v>562</v>
      </c>
      <c r="I26" s="212" t="s">
        <v>946</v>
      </c>
      <c r="J26" s="183"/>
      <c r="K26" s="183"/>
      <c r="L26" s="189" t="s">
        <v>534</v>
      </c>
      <c r="M26" s="183" t="s">
        <v>559</v>
      </c>
      <c r="N26" s="189" t="s">
        <v>507</v>
      </c>
      <c r="O26" s="202" t="s">
        <v>554</v>
      </c>
      <c r="P26" s="203"/>
      <c r="Q26" s="192">
        <v>100</v>
      </c>
      <c r="R26" s="193">
        <v>14050</v>
      </c>
      <c r="S26" s="195"/>
      <c r="T26" s="194">
        <v>1</v>
      </c>
      <c r="U26" s="193">
        <v>14050</v>
      </c>
      <c r="V26" s="196">
        <f t="shared" si="0"/>
        <v>41852</v>
      </c>
      <c r="W26" s="197">
        <f t="shared" si="7"/>
        <v>113</v>
      </c>
      <c r="X26" s="197"/>
      <c r="Y26" s="198">
        <f t="shared" si="1"/>
        <v>0</v>
      </c>
      <c r="Z26" s="199">
        <f t="shared" si="8"/>
        <v>0</v>
      </c>
      <c r="AA26" s="198">
        <f t="shared" si="2"/>
        <v>1</v>
      </c>
      <c r="AB26" s="199">
        <f t="shared" si="9"/>
        <v>14050</v>
      </c>
      <c r="AC26" s="198">
        <f t="shared" si="3"/>
        <v>0</v>
      </c>
      <c r="AD26" s="199">
        <f t="shared" si="10"/>
        <v>0</v>
      </c>
      <c r="AE26" s="198">
        <f t="shared" si="4"/>
        <v>0</v>
      </c>
      <c r="AF26" s="199">
        <f t="shared" si="11"/>
        <v>0</v>
      </c>
      <c r="AG26" s="198">
        <f t="shared" si="5"/>
        <v>0</v>
      </c>
      <c r="AH26" s="199">
        <f t="shared" si="12"/>
        <v>0</v>
      </c>
      <c r="AI26" s="198">
        <f t="shared" si="6"/>
        <v>0</v>
      </c>
      <c r="AJ26" s="199">
        <f t="shared" si="13"/>
        <v>0</v>
      </c>
    </row>
    <row r="27" spans="1:36" ht="21.75" customHeight="1" x14ac:dyDescent="0.25">
      <c r="A27" s="185" t="s">
        <v>912</v>
      </c>
      <c r="B27" s="185" t="s">
        <v>531</v>
      </c>
      <c r="C27" s="185" t="s">
        <v>499</v>
      </c>
      <c r="D27" s="186" t="s">
        <v>500</v>
      </c>
      <c r="E27" s="185" t="s">
        <v>509</v>
      </c>
      <c r="F27" s="187">
        <v>24</v>
      </c>
      <c r="G27" s="188" t="s">
        <v>563</v>
      </c>
      <c r="H27" s="189" t="s">
        <v>564</v>
      </c>
      <c r="I27" s="212" t="s">
        <v>946</v>
      </c>
      <c r="J27" s="183" t="s">
        <v>565</v>
      </c>
      <c r="K27" s="201">
        <v>2</v>
      </c>
      <c r="L27" s="189" t="s">
        <v>505</v>
      </c>
      <c r="M27" s="183" t="s">
        <v>566</v>
      </c>
      <c r="N27" s="189" t="s">
        <v>507</v>
      </c>
      <c r="O27" s="190">
        <v>2.778</v>
      </c>
      <c r="P27" s="191">
        <v>36</v>
      </c>
      <c r="Q27" s="192">
        <v>100</v>
      </c>
      <c r="R27" s="193">
        <v>27990</v>
      </c>
      <c r="S27" s="195"/>
      <c r="T27" s="194">
        <v>1</v>
      </c>
      <c r="U27" s="193">
        <v>27990</v>
      </c>
      <c r="V27" s="196">
        <f t="shared" si="0"/>
        <v>40544</v>
      </c>
      <c r="W27" s="197">
        <f t="shared" si="7"/>
        <v>156</v>
      </c>
      <c r="X27" s="197"/>
      <c r="Y27" s="198">
        <f t="shared" si="1"/>
        <v>1</v>
      </c>
      <c r="Z27" s="199">
        <f t="shared" si="8"/>
        <v>27990</v>
      </c>
      <c r="AA27" s="198">
        <f t="shared" si="2"/>
        <v>0</v>
      </c>
      <c r="AB27" s="199">
        <f t="shared" si="9"/>
        <v>0</v>
      </c>
      <c r="AC27" s="198">
        <f t="shared" si="3"/>
        <v>0</v>
      </c>
      <c r="AD27" s="199">
        <f t="shared" si="10"/>
        <v>0</v>
      </c>
      <c r="AE27" s="198">
        <f t="shared" si="4"/>
        <v>0</v>
      </c>
      <c r="AF27" s="199">
        <f t="shared" si="11"/>
        <v>0</v>
      </c>
      <c r="AG27" s="198">
        <f t="shared" si="5"/>
        <v>0</v>
      </c>
      <c r="AH27" s="199">
        <f t="shared" si="12"/>
        <v>0</v>
      </c>
      <c r="AI27" s="198">
        <f t="shared" si="6"/>
        <v>0</v>
      </c>
      <c r="AJ27" s="199">
        <f t="shared" si="13"/>
        <v>0</v>
      </c>
    </row>
    <row r="28" spans="1:36" ht="21.75" customHeight="1" x14ac:dyDescent="0.25">
      <c r="A28" s="185" t="s">
        <v>912</v>
      </c>
      <c r="B28" s="185" t="s">
        <v>531</v>
      </c>
      <c r="C28" s="185" t="s">
        <v>499</v>
      </c>
      <c r="D28" s="186" t="s">
        <v>500</v>
      </c>
      <c r="E28" s="185" t="s">
        <v>509</v>
      </c>
      <c r="F28" s="187">
        <v>25</v>
      </c>
      <c r="G28" s="188" t="s">
        <v>563</v>
      </c>
      <c r="H28" s="189" t="s">
        <v>567</v>
      </c>
      <c r="I28" s="212" t="s">
        <v>946</v>
      </c>
      <c r="J28" s="183" t="s">
        <v>565</v>
      </c>
      <c r="K28" s="201">
        <v>2</v>
      </c>
      <c r="L28" s="189" t="s">
        <v>505</v>
      </c>
      <c r="M28" s="183" t="s">
        <v>566</v>
      </c>
      <c r="N28" s="189" t="s">
        <v>507</v>
      </c>
      <c r="O28" s="190">
        <v>2.778</v>
      </c>
      <c r="P28" s="191">
        <v>36</v>
      </c>
      <c r="Q28" s="192">
        <v>100</v>
      </c>
      <c r="R28" s="193">
        <v>27990</v>
      </c>
      <c r="S28" s="195"/>
      <c r="T28" s="194">
        <v>1</v>
      </c>
      <c r="U28" s="193">
        <v>27990</v>
      </c>
      <c r="V28" s="196">
        <f t="shared" si="0"/>
        <v>40544</v>
      </c>
      <c r="W28" s="197">
        <f t="shared" si="7"/>
        <v>156</v>
      </c>
      <c r="X28" s="197"/>
      <c r="Y28" s="198">
        <f t="shared" si="1"/>
        <v>1</v>
      </c>
      <c r="Z28" s="199">
        <f t="shared" si="8"/>
        <v>27990</v>
      </c>
      <c r="AA28" s="198">
        <f t="shared" si="2"/>
        <v>0</v>
      </c>
      <c r="AB28" s="199">
        <f t="shared" si="9"/>
        <v>0</v>
      </c>
      <c r="AC28" s="198">
        <f t="shared" si="3"/>
        <v>0</v>
      </c>
      <c r="AD28" s="199">
        <f t="shared" si="10"/>
        <v>0</v>
      </c>
      <c r="AE28" s="198">
        <f t="shared" si="4"/>
        <v>0</v>
      </c>
      <c r="AF28" s="199">
        <f t="shared" si="11"/>
        <v>0</v>
      </c>
      <c r="AG28" s="198">
        <f t="shared" si="5"/>
        <v>0</v>
      </c>
      <c r="AH28" s="199">
        <f t="shared" si="12"/>
        <v>0</v>
      </c>
      <c r="AI28" s="198">
        <f t="shared" si="6"/>
        <v>0</v>
      </c>
      <c r="AJ28" s="199">
        <f t="shared" si="13"/>
        <v>0</v>
      </c>
    </row>
    <row r="29" spans="1:36" ht="21.75" customHeight="1" x14ac:dyDescent="0.25">
      <c r="A29" s="185" t="s">
        <v>912</v>
      </c>
      <c r="B29" s="185" t="s">
        <v>531</v>
      </c>
      <c r="C29" s="185" t="s">
        <v>499</v>
      </c>
      <c r="D29" s="186" t="s">
        <v>500</v>
      </c>
      <c r="E29" s="185" t="s">
        <v>509</v>
      </c>
      <c r="F29" s="187">
        <v>26</v>
      </c>
      <c r="G29" s="188" t="s">
        <v>568</v>
      </c>
      <c r="H29" s="189" t="s">
        <v>569</v>
      </c>
      <c r="I29" s="212" t="s">
        <v>946</v>
      </c>
      <c r="J29" s="183"/>
      <c r="K29" s="183"/>
      <c r="L29" s="189" t="s">
        <v>534</v>
      </c>
      <c r="M29" s="183" t="s">
        <v>570</v>
      </c>
      <c r="N29" s="189" t="s">
        <v>507</v>
      </c>
      <c r="O29" s="202" t="s">
        <v>554</v>
      </c>
      <c r="P29" s="203"/>
      <c r="Q29" s="192">
        <v>100</v>
      </c>
      <c r="R29" s="193">
        <v>15587.94</v>
      </c>
      <c r="S29" s="195"/>
      <c r="T29" s="194">
        <v>1</v>
      </c>
      <c r="U29" s="193">
        <v>15587.94</v>
      </c>
      <c r="V29" s="196">
        <f t="shared" si="0"/>
        <v>40878</v>
      </c>
      <c r="W29" s="197">
        <f t="shared" si="7"/>
        <v>145</v>
      </c>
      <c r="X29" s="197"/>
      <c r="Y29" s="198">
        <f t="shared" si="1"/>
        <v>1</v>
      </c>
      <c r="Z29" s="199">
        <f t="shared" si="8"/>
        <v>15587.94</v>
      </c>
      <c r="AA29" s="198">
        <f t="shared" si="2"/>
        <v>0</v>
      </c>
      <c r="AB29" s="199">
        <f t="shared" si="9"/>
        <v>0</v>
      </c>
      <c r="AC29" s="198">
        <f t="shared" si="3"/>
        <v>0</v>
      </c>
      <c r="AD29" s="199">
        <f t="shared" si="10"/>
        <v>0</v>
      </c>
      <c r="AE29" s="198">
        <f t="shared" si="4"/>
        <v>0</v>
      </c>
      <c r="AF29" s="199">
        <f t="shared" si="11"/>
        <v>0</v>
      </c>
      <c r="AG29" s="198">
        <f t="shared" si="5"/>
        <v>0</v>
      </c>
      <c r="AH29" s="199">
        <f t="shared" si="12"/>
        <v>0</v>
      </c>
      <c r="AI29" s="198">
        <f t="shared" si="6"/>
        <v>0</v>
      </c>
      <c r="AJ29" s="199">
        <f t="shared" si="13"/>
        <v>0</v>
      </c>
    </row>
    <row r="30" spans="1:36" ht="21.75" customHeight="1" x14ac:dyDescent="0.25">
      <c r="A30" s="185" t="s">
        <v>912</v>
      </c>
      <c r="B30" s="185" t="s">
        <v>531</v>
      </c>
      <c r="C30" s="185" t="s">
        <v>499</v>
      </c>
      <c r="D30" s="186" t="s">
        <v>500</v>
      </c>
      <c r="E30" s="185" t="s">
        <v>509</v>
      </c>
      <c r="F30" s="187">
        <v>27</v>
      </c>
      <c r="G30" s="188" t="s">
        <v>574</v>
      </c>
      <c r="H30" s="189" t="s">
        <v>575</v>
      </c>
      <c r="I30" s="212" t="s">
        <v>946</v>
      </c>
      <c r="J30" s="183"/>
      <c r="K30" s="183"/>
      <c r="L30" s="189" t="s">
        <v>534</v>
      </c>
      <c r="M30" s="183" t="s">
        <v>573</v>
      </c>
      <c r="N30" s="189" t="s">
        <v>507</v>
      </c>
      <c r="O30" s="202" t="s">
        <v>554</v>
      </c>
      <c r="P30" s="203"/>
      <c r="Q30" s="192">
        <v>100</v>
      </c>
      <c r="R30" s="193">
        <v>7095</v>
      </c>
      <c r="S30" s="195"/>
      <c r="T30" s="194">
        <v>1</v>
      </c>
      <c r="U30" s="193">
        <v>7095</v>
      </c>
      <c r="V30" s="196">
        <f t="shared" si="0"/>
        <v>40878</v>
      </c>
      <c r="W30" s="197">
        <f t="shared" si="7"/>
        <v>145</v>
      </c>
      <c r="X30" s="197"/>
      <c r="Y30" s="198">
        <f t="shared" si="1"/>
        <v>1</v>
      </c>
      <c r="Z30" s="199">
        <f t="shared" si="8"/>
        <v>7095</v>
      </c>
      <c r="AA30" s="198">
        <f t="shared" si="2"/>
        <v>0</v>
      </c>
      <c r="AB30" s="199">
        <f t="shared" si="9"/>
        <v>0</v>
      </c>
      <c r="AC30" s="198">
        <f t="shared" si="3"/>
        <v>0</v>
      </c>
      <c r="AD30" s="199">
        <f t="shared" si="10"/>
        <v>0</v>
      </c>
      <c r="AE30" s="198">
        <f t="shared" si="4"/>
        <v>0</v>
      </c>
      <c r="AF30" s="199">
        <f t="shared" si="11"/>
        <v>0</v>
      </c>
      <c r="AG30" s="198">
        <f t="shared" si="5"/>
        <v>0</v>
      </c>
      <c r="AH30" s="199">
        <f t="shared" si="12"/>
        <v>0</v>
      </c>
      <c r="AI30" s="198">
        <f t="shared" si="6"/>
        <v>0</v>
      </c>
      <c r="AJ30" s="199">
        <f t="shared" si="13"/>
        <v>0</v>
      </c>
    </row>
    <row r="31" spans="1:36" ht="21.75" customHeight="1" x14ac:dyDescent="0.25">
      <c r="A31" s="185" t="s">
        <v>912</v>
      </c>
      <c r="B31" s="185" t="s">
        <v>531</v>
      </c>
      <c r="C31" s="185" t="s">
        <v>499</v>
      </c>
      <c r="D31" s="186" t="s">
        <v>500</v>
      </c>
      <c r="E31" s="185" t="s">
        <v>509</v>
      </c>
      <c r="F31" s="187">
        <v>28</v>
      </c>
      <c r="G31" s="188" t="s">
        <v>576</v>
      </c>
      <c r="H31" s="189" t="s">
        <v>577</v>
      </c>
      <c r="I31" s="212" t="s">
        <v>946</v>
      </c>
      <c r="J31" s="201">
        <v>1</v>
      </c>
      <c r="K31" s="183"/>
      <c r="L31" s="189" t="s">
        <v>534</v>
      </c>
      <c r="M31" s="183" t="s">
        <v>578</v>
      </c>
      <c r="N31" s="189" t="s">
        <v>507</v>
      </c>
      <c r="O31" s="202" t="s">
        <v>554</v>
      </c>
      <c r="P31" s="203"/>
      <c r="Q31" s="192">
        <v>100</v>
      </c>
      <c r="R31" s="193">
        <v>4020</v>
      </c>
      <c r="S31" s="195"/>
      <c r="T31" s="194">
        <v>1</v>
      </c>
      <c r="U31" s="193">
        <v>4020</v>
      </c>
      <c r="V31" s="196">
        <f t="shared" si="0"/>
        <v>40452</v>
      </c>
      <c r="W31" s="197">
        <f t="shared" si="7"/>
        <v>159</v>
      </c>
      <c r="X31" s="197"/>
      <c r="Y31" s="198">
        <f t="shared" si="1"/>
        <v>1</v>
      </c>
      <c r="Z31" s="199">
        <f t="shared" si="8"/>
        <v>4020</v>
      </c>
      <c r="AA31" s="198">
        <f t="shared" si="2"/>
        <v>0</v>
      </c>
      <c r="AB31" s="199">
        <f t="shared" si="9"/>
        <v>0</v>
      </c>
      <c r="AC31" s="198">
        <f t="shared" si="3"/>
        <v>0</v>
      </c>
      <c r="AD31" s="199">
        <f t="shared" si="10"/>
        <v>0</v>
      </c>
      <c r="AE31" s="198">
        <f t="shared" si="4"/>
        <v>0</v>
      </c>
      <c r="AF31" s="199">
        <f t="shared" si="11"/>
        <v>0</v>
      </c>
      <c r="AG31" s="198">
        <f t="shared" si="5"/>
        <v>0</v>
      </c>
      <c r="AH31" s="199">
        <f t="shared" si="12"/>
        <v>0</v>
      </c>
      <c r="AI31" s="198">
        <f t="shared" si="6"/>
        <v>0</v>
      </c>
      <c r="AJ31" s="199">
        <f t="shared" si="13"/>
        <v>0</v>
      </c>
    </row>
    <row r="32" spans="1:36" ht="21.75" customHeight="1" x14ac:dyDescent="0.25">
      <c r="A32" s="185" t="s">
        <v>912</v>
      </c>
      <c r="B32" s="185" t="s">
        <v>531</v>
      </c>
      <c r="C32" s="185" t="s">
        <v>499</v>
      </c>
      <c r="D32" s="186" t="s">
        <v>500</v>
      </c>
      <c r="E32" s="185" t="s">
        <v>509</v>
      </c>
      <c r="F32" s="187">
        <v>29</v>
      </c>
      <c r="G32" s="188" t="s">
        <v>579</v>
      </c>
      <c r="H32" s="189" t="s">
        <v>580</v>
      </c>
      <c r="I32" s="212" t="s">
        <v>946</v>
      </c>
      <c r="J32" s="183" t="s">
        <v>565</v>
      </c>
      <c r="K32" s="201">
        <v>2</v>
      </c>
      <c r="L32" s="189" t="s">
        <v>505</v>
      </c>
      <c r="M32" s="183" t="s">
        <v>581</v>
      </c>
      <c r="N32" s="189" t="s">
        <v>507</v>
      </c>
      <c r="O32" s="190">
        <v>2.778</v>
      </c>
      <c r="P32" s="191">
        <v>36</v>
      </c>
      <c r="Q32" s="192">
        <v>100</v>
      </c>
      <c r="R32" s="193">
        <v>50667</v>
      </c>
      <c r="S32" s="195"/>
      <c r="T32" s="194">
        <v>1</v>
      </c>
      <c r="U32" s="193">
        <v>50667</v>
      </c>
      <c r="V32" s="196">
        <f t="shared" si="0"/>
        <v>40909</v>
      </c>
      <c r="W32" s="197">
        <f t="shared" si="7"/>
        <v>144</v>
      </c>
      <c r="X32" s="197"/>
      <c r="Y32" s="198">
        <f t="shared" si="1"/>
        <v>1</v>
      </c>
      <c r="Z32" s="199">
        <f t="shared" si="8"/>
        <v>50667</v>
      </c>
      <c r="AA32" s="198">
        <f t="shared" si="2"/>
        <v>0</v>
      </c>
      <c r="AB32" s="199">
        <f t="shared" si="9"/>
        <v>0</v>
      </c>
      <c r="AC32" s="198">
        <f t="shared" si="3"/>
        <v>0</v>
      </c>
      <c r="AD32" s="199">
        <f t="shared" si="10"/>
        <v>0</v>
      </c>
      <c r="AE32" s="198">
        <f t="shared" si="4"/>
        <v>0</v>
      </c>
      <c r="AF32" s="199">
        <f t="shared" si="11"/>
        <v>0</v>
      </c>
      <c r="AG32" s="198">
        <f t="shared" si="5"/>
        <v>0</v>
      </c>
      <c r="AH32" s="199">
        <f t="shared" si="12"/>
        <v>0</v>
      </c>
      <c r="AI32" s="198">
        <f t="shared" si="6"/>
        <v>0</v>
      </c>
      <c r="AJ32" s="199">
        <f t="shared" si="13"/>
        <v>0</v>
      </c>
    </row>
    <row r="33" spans="1:36" ht="21.75" customHeight="1" x14ac:dyDescent="0.25">
      <c r="A33" s="185" t="s">
        <v>912</v>
      </c>
      <c r="B33" s="185" t="s">
        <v>531</v>
      </c>
      <c r="C33" s="185" t="s">
        <v>499</v>
      </c>
      <c r="D33" s="186" t="s">
        <v>500</v>
      </c>
      <c r="E33" s="185" t="s">
        <v>509</v>
      </c>
      <c r="F33" s="187">
        <v>30</v>
      </c>
      <c r="G33" s="188" t="s">
        <v>582</v>
      </c>
      <c r="H33" s="189" t="s">
        <v>586</v>
      </c>
      <c r="I33" s="212" t="s">
        <v>946</v>
      </c>
      <c r="J33" s="183" t="s">
        <v>584</v>
      </c>
      <c r="K33" s="201">
        <v>2</v>
      </c>
      <c r="L33" s="189" t="s">
        <v>534</v>
      </c>
      <c r="M33" s="183" t="s">
        <v>585</v>
      </c>
      <c r="N33" s="189" t="s">
        <v>507</v>
      </c>
      <c r="O33" s="190">
        <v>2.778</v>
      </c>
      <c r="P33" s="191">
        <v>36</v>
      </c>
      <c r="Q33" s="192">
        <v>100</v>
      </c>
      <c r="R33" s="193">
        <v>17950</v>
      </c>
      <c r="S33" s="195"/>
      <c r="T33" s="194">
        <v>1</v>
      </c>
      <c r="U33" s="193">
        <v>17950</v>
      </c>
      <c r="V33" s="196">
        <f t="shared" si="0"/>
        <v>40909</v>
      </c>
      <c r="W33" s="197">
        <f t="shared" si="7"/>
        <v>144</v>
      </c>
      <c r="X33" s="197"/>
      <c r="Y33" s="198">
        <f t="shared" si="1"/>
        <v>1</v>
      </c>
      <c r="Z33" s="199">
        <f t="shared" si="8"/>
        <v>17950</v>
      </c>
      <c r="AA33" s="198">
        <f t="shared" si="2"/>
        <v>0</v>
      </c>
      <c r="AB33" s="199">
        <f t="shared" si="9"/>
        <v>0</v>
      </c>
      <c r="AC33" s="198">
        <f t="shared" si="3"/>
        <v>0</v>
      </c>
      <c r="AD33" s="199">
        <f t="shared" si="10"/>
        <v>0</v>
      </c>
      <c r="AE33" s="198">
        <f t="shared" si="4"/>
        <v>0</v>
      </c>
      <c r="AF33" s="199">
        <f t="shared" si="11"/>
        <v>0</v>
      </c>
      <c r="AG33" s="198">
        <f t="shared" si="5"/>
        <v>0</v>
      </c>
      <c r="AH33" s="199">
        <f t="shared" si="12"/>
        <v>0</v>
      </c>
      <c r="AI33" s="198">
        <f t="shared" si="6"/>
        <v>0</v>
      </c>
      <c r="AJ33" s="199">
        <f t="shared" si="13"/>
        <v>0</v>
      </c>
    </row>
    <row r="34" spans="1:36" ht="21.75" customHeight="1" x14ac:dyDescent="0.25">
      <c r="A34" s="185" t="s">
        <v>912</v>
      </c>
      <c r="B34" s="185" t="s">
        <v>531</v>
      </c>
      <c r="C34" s="185" t="s">
        <v>499</v>
      </c>
      <c r="D34" s="186" t="s">
        <v>500</v>
      </c>
      <c r="E34" s="185" t="s">
        <v>509</v>
      </c>
      <c r="F34" s="187">
        <v>31</v>
      </c>
      <c r="G34" s="188" t="s">
        <v>582</v>
      </c>
      <c r="H34" s="189" t="s">
        <v>583</v>
      </c>
      <c r="I34" s="212" t="s">
        <v>946</v>
      </c>
      <c r="J34" s="183" t="s">
        <v>584</v>
      </c>
      <c r="K34" s="201">
        <v>2</v>
      </c>
      <c r="L34" s="189" t="s">
        <v>534</v>
      </c>
      <c r="M34" s="183" t="s">
        <v>585</v>
      </c>
      <c r="N34" s="189" t="s">
        <v>507</v>
      </c>
      <c r="O34" s="190">
        <v>2.778</v>
      </c>
      <c r="P34" s="191">
        <v>36</v>
      </c>
      <c r="Q34" s="192">
        <v>100</v>
      </c>
      <c r="R34" s="193">
        <v>17950</v>
      </c>
      <c r="S34" s="195"/>
      <c r="T34" s="194">
        <v>1</v>
      </c>
      <c r="U34" s="193">
        <v>17950</v>
      </c>
      <c r="V34" s="196">
        <f t="shared" si="0"/>
        <v>40909</v>
      </c>
      <c r="W34" s="197">
        <f t="shared" si="7"/>
        <v>144</v>
      </c>
      <c r="X34" s="197"/>
      <c r="Y34" s="198">
        <f t="shared" si="1"/>
        <v>1</v>
      </c>
      <c r="Z34" s="199">
        <f t="shared" si="8"/>
        <v>17950</v>
      </c>
      <c r="AA34" s="198">
        <f t="shared" si="2"/>
        <v>0</v>
      </c>
      <c r="AB34" s="199">
        <f t="shared" si="9"/>
        <v>0</v>
      </c>
      <c r="AC34" s="198">
        <f t="shared" si="3"/>
        <v>0</v>
      </c>
      <c r="AD34" s="199">
        <f t="shared" si="10"/>
        <v>0</v>
      </c>
      <c r="AE34" s="198">
        <f t="shared" si="4"/>
        <v>0</v>
      </c>
      <c r="AF34" s="199">
        <f t="shared" si="11"/>
        <v>0</v>
      </c>
      <c r="AG34" s="198">
        <f t="shared" si="5"/>
        <v>0</v>
      </c>
      <c r="AH34" s="199">
        <f t="shared" si="12"/>
        <v>0</v>
      </c>
      <c r="AI34" s="198">
        <f t="shared" si="6"/>
        <v>0</v>
      </c>
      <c r="AJ34" s="199">
        <f t="shared" si="13"/>
        <v>0</v>
      </c>
    </row>
    <row r="35" spans="1:36" ht="21.75" customHeight="1" x14ac:dyDescent="0.25">
      <c r="A35" s="185" t="s">
        <v>912</v>
      </c>
      <c r="B35" s="185" t="s">
        <v>531</v>
      </c>
      <c r="C35" s="185" t="s">
        <v>499</v>
      </c>
      <c r="D35" s="186" t="s">
        <v>500</v>
      </c>
      <c r="E35" s="185" t="s">
        <v>509</v>
      </c>
      <c r="F35" s="187">
        <v>32</v>
      </c>
      <c r="G35" s="188" t="s">
        <v>587</v>
      </c>
      <c r="H35" s="189" t="s">
        <v>590</v>
      </c>
      <c r="I35" s="212" t="s">
        <v>946</v>
      </c>
      <c r="J35" s="183"/>
      <c r="K35" s="183"/>
      <c r="L35" s="189" t="s">
        <v>534</v>
      </c>
      <c r="M35" s="183" t="s">
        <v>530</v>
      </c>
      <c r="N35" s="189" t="s">
        <v>507</v>
      </c>
      <c r="O35" s="202" t="s">
        <v>554</v>
      </c>
      <c r="P35" s="203"/>
      <c r="Q35" s="192">
        <v>100</v>
      </c>
      <c r="R35" s="193">
        <v>15587.94</v>
      </c>
      <c r="S35" s="195"/>
      <c r="T35" s="194">
        <v>1</v>
      </c>
      <c r="U35" s="193">
        <v>15587.94</v>
      </c>
      <c r="V35" s="196">
        <f t="shared" si="0"/>
        <v>40909</v>
      </c>
      <c r="W35" s="197">
        <f t="shared" si="7"/>
        <v>144</v>
      </c>
      <c r="X35" s="197"/>
      <c r="Y35" s="198">
        <f t="shared" si="1"/>
        <v>1</v>
      </c>
      <c r="Z35" s="199">
        <f t="shared" si="8"/>
        <v>15587.94</v>
      </c>
      <c r="AA35" s="198">
        <f t="shared" si="2"/>
        <v>0</v>
      </c>
      <c r="AB35" s="199">
        <f t="shared" si="9"/>
        <v>0</v>
      </c>
      <c r="AC35" s="198">
        <f t="shared" si="3"/>
        <v>0</v>
      </c>
      <c r="AD35" s="199">
        <f t="shared" si="10"/>
        <v>0</v>
      </c>
      <c r="AE35" s="198">
        <f t="shared" si="4"/>
        <v>0</v>
      </c>
      <c r="AF35" s="199">
        <f t="shared" si="11"/>
        <v>0</v>
      </c>
      <c r="AG35" s="198">
        <f t="shared" si="5"/>
        <v>0</v>
      </c>
      <c r="AH35" s="199">
        <f t="shared" si="12"/>
        <v>0</v>
      </c>
      <c r="AI35" s="198">
        <f t="shared" si="6"/>
        <v>0</v>
      </c>
      <c r="AJ35" s="199">
        <f t="shared" si="13"/>
        <v>0</v>
      </c>
    </row>
    <row r="36" spans="1:36" ht="21.75" customHeight="1" x14ac:dyDescent="0.25">
      <c r="A36" s="185" t="s">
        <v>912</v>
      </c>
      <c r="B36" s="185" t="s">
        <v>531</v>
      </c>
      <c r="C36" s="185" t="s">
        <v>499</v>
      </c>
      <c r="D36" s="186" t="s">
        <v>500</v>
      </c>
      <c r="E36" s="185" t="s">
        <v>509</v>
      </c>
      <c r="F36" s="187">
        <v>33</v>
      </c>
      <c r="G36" s="188" t="s">
        <v>587</v>
      </c>
      <c r="H36" s="189" t="s">
        <v>588</v>
      </c>
      <c r="I36" s="212" t="s">
        <v>946</v>
      </c>
      <c r="J36" s="183"/>
      <c r="K36" s="183"/>
      <c r="L36" s="189" t="s">
        <v>534</v>
      </c>
      <c r="M36" s="183" t="s">
        <v>530</v>
      </c>
      <c r="N36" s="189" t="s">
        <v>507</v>
      </c>
      <c r="O36" s="202" t="s">
        <v>554</v>
      </c>
      <c r="P36" s="203"/>
      <c r="Q36" s="192">
        <v>100</v>
      </c>
      <c r="R36" s="193">
        <v>15587.94</v>
      </c>
      <c r="S36" s="195"/>
      <c r="T36" s="194">
        <v>1</v>
      </c>
      <c r="U36" s="193">
        <v>15587.94</v>
      </c>
      <c r="V36" s="196">
        <f t="shared" si="0"/>
        <v>40909</v>
      </c>
      <c r="W36" s="197">
        <f t="shared" si="7"/>
        <v>144</v>
      </c>
      <c r="X36" s="197"/>
      <c r="Y36" s="198">
        <f t="shared" si="1"/>
        <v>1</v>
      </c>
      <c r="Z36" s="199">
        <f t="shared" si="8"/>
        <v>15587.94</v>
      </c>
      <c r="AA36" s="198">
        <f t="shared" si="2"/>
        <v>0</v>
      </c>
      <c r="AB36" s="199">
        <f t="shared" si="9"/>
        <v>0</v>
      </c>
      <c r="AC36" s="198">
        <f t="shared" si="3"/>
        <v>0</v>
      </c>
      <c r="AD36" s="199">
        <f t="shared" si="10"/>
        <v>0</v>
      </c>
      <c r="AE36" s="198">
        <f t="shared" si="4"/>
        <v>0</v>
      </c>
      <c r="AF36" s="199">
        <f t="shared" si="11"/>
        <v>0</v>
      </c>
      <c r="AG36" s="198">
        <f t="shared" si="5"/>
        <v>0</v>
      </c>
      <c r="AH36" s="199">
        <f t="shared" si="12"/>
        <v>0</v>
      </c>
      <c r="AI36" s="198">
        <f t="shared" si="6"/>
        <v>0</v>
      </c>
      <c r="AJ36" s="199">
        <f t="shared" si="13"/>
        <v>0</v>
      </c>
    </row>
    <row r="37" spans="1:36" ht="21.75" customHeight="1" x14ac:dyDescent="0.25">
      <c r="A37" s="185" t="s">
        <v>912</v>
      </c>
      <c r="B37" s="185" t="s">
        <v>531</v>
      </c>
      <c r="C37" s="185" t="s">
        <v>499</v>
      </c>
      <c r="D37" s="186" t="s">
        <v>500</v>
      </c>
      <c r="E37" s="185" t="s">
        <v>509</v>
      </c>
      <c r="F37" s="187">
        <v>34</v>
      </c>
      <c r="G37" s="188" t="s">
        <v>591</v>
      </c>
      <c r="H37" s="189" t="s">
        <v>592</v>
      </c>
      <c r="I37" s="212" t="s">
        <v>946</v>
      </c>
      <c r="J37" s="183"/>
      <c r="K37" s="183"/>
      <c r="L37" s="189" t="s">
        <v>534</v>
      </c>
      <c r="M37" s="183" t="s">
        <v>530</v>
      </c>
      <c r="N37" s="189" t="s">
        <v>507</v>
      </c>
      <c r="O37" s="202" t="s">
        <v>554</v>
      </c>
      <c r="P37" s="203"/>
      <c r="Q37" s="192">
        <v>100</v>
      </c>
      <c r="R37" s="193">
        <v>3678</v>
      </c>
      <c r="S37" s="195"/>
      <c r="T37" s="194">
        <v>1</v>
      </c>
      <c r="U37" s="193">
        <v>3678</v>
      </c>
      <c r="V37" s="196">
        <f t="shared" si="0"/>
        <v>40909</v>
      </c>
      <c r="W37" s="197">
        <f t="shared" si="7"/>
        <v>144</v>
      </c>
      <c r="X37" s="197"/>
      <c r="Y37" s="198">
        <f t="shared" si="1"/>
        <v>1</v>
      </c>
      <c r="Z37" s="199">
        <f t="shared" si="8"/>
        <v>3678</v>
      </c>
      <c r="AA37" s="198">
        <f t="shared" si="2"/>
        <v>0</v>
      </c>
      <c r="AB37" s="199">
        <f t="shared" si="9"/>
        <v>0</v>
      </c>
      <c r="AC37" s="198">
        <f t="shared" si="3"/>
        <v>0</v>
      </c>
      <c r="AD37" s="199">
        <f t="shared" si="10"/>
        <v>0</v>
      </c>
      <c r="AE37" s="198">
        <f t="shared" si="4"/>
        <v>0</v>
      </c>
      <c r="AF37" s="199">
        <f t="shared" si="11"/>
        <v>0</v>
      </c>
      <c r="AG37" s="198">
        <f t="shared" si="5"/>
        <v>0</v>
      </c>
      <c r="AH37" s="199">
        <f t="shared" si="12"/>
        <v>0</v>
      </c>
      <c r="AI37" s="198">
        <f t="shared" si="6"/>
        <v>0</v>
      </c>
      <c r="AJ37" s="199">
        <f t="shared" si="13"/>
        <v>0</v>
      </c>
    </row>
    <row r="38" spans="1:36" ht="21.75" customHeight="1" x14ac:dyDescent="0.25">
      <c r="A38" s="185" t="s">
        <v>912</v>
      </c>
      <c r="B38" s="185" t="s">
        <v>531</v>
      </c>
      <c r="C38" s="185" t="s">
        <v>499</v>
      </c>
      <c r="D38" s="186" t="s">
        <v>500</v>
      </c>
      <c r="E38" s="185" t="s">
        <v>509</v>
      </c>
      <c r="F38" s="187">
        <v>35</v>
      </c>
      <c r="G38" s="188" t="s">
        <v>591</v>
      </c>
      <c r="H38" s="189" t="s">
        <v>593</v>
      </c>
      <c r="I38" s="212" t="s">
        <v>946</v>
      </c>
      <c r="J38" s="183"/>
      <c r="K38" s="183"/>
      <c r="L38" s="189" t="s">
        <v>534</v>
      </c>
      <c r="M38" s="183" t="s">
        <v>530</v>
      </c>
      <c r="N38" s="189" t="s">
        <v>507</v>
      </c>
      <c r="O38" s="202" t="s">
        <v>554</v>
      </c>
      <c r="P38" s="203"/>
      <c r="Q38" s="192">
        <v>100</v>
      </c>
      <c r="R38" s="193">
        <v>3678</v>
      </c>
      <c r="S38" s="195"/>
      <c r="T38" s="194">
        <v>1</v>
      </c>
      <c r="U38" s="193">
        <v>3678</v>
      </c>
      <c r="V38" s="196">
        <f t="shared" si="0"/>
        <v>40909</v>
      </c>
      <c r="W38" s="197">
        <f t="shared" si="7"/>
        <v>144</v>
      </c>
      <c r="X38" s="197"/>
      <c r="Y38" s="198">
        <f t="shared" si="1"/>
        <v>1</v>
      </c>
      <c r="Z38" s="199">
        <f t="shared" si="8"/>
        <v>3678</v>
      </c>
      <c r="AA38" s="198">
        <f t="shared" si="2"/>
        <v>0</v>
      </c>
      <c r="AB38" s="199">
        <f t="shared" si="9"/>
        <v>0</v>
      </c>
      <c r="AC38" s="198">
        <f t="shared" si="3"/>
        <v>0</v>
      </c>
      <c r="AD38" s="199">
        <f t="shared" si="10"/>
        <v>0</v>
      </c>
      <c r="AE38" s="198">
        <f t="shared" si="4"/>
        <v>0</v>
      </c>
      <c r="AF38" s="199">
        <f t="shared" si="11"/>
        <v>0</v>
      </c>
      <c r="AG38" s="198">
        <f t="shared" si="5"/>
        <v>0</v>
      </c>
      <c r="AH38" s="199">
        <f t="shared" si="12"/>
        <v>0</v>
      </c>
      <c r="AI38" s="198">
        <f t="shared" si="6"/>
        <v>0</v>
      </c>
      <c r="AJ38" s="199">
        <f t="shared" si="13"/>
        <v>0</v>
      </c>
    </row>
    <row r="39" spans="1:36" ht="21.75" customHeight="1" x14ac:dyDescent="0.25">
      <c r="A39" s="185" t="s">
        <v>912</v>
      </c>
      <c r="B39" s="185" t="s">
        <v>531</v>
      </c>
      <c r="C39" s="185" t="s">
        <v>499</v>
      </c>
      <c r="D39" s="186" t="s">
        <v>500</v>
      </c>
      <c r="E39" s="185" t="s">
        <v>509</v>
      </c>
      <c r="F39" s="187">
        <v>36</v>
      </c>
      <c r="G39" s="188" t="s">
        <v>591</v>
      </c>
      <c r="H39" s="189" t="s">
        <v>594</v>
      </c>
      <c r="I39" s="212" t="s">
        <v>946</v>
      </c>
      <c r="J39" s="183"/>
      <c r="K39" s="183"/>
      <c r="L39" s="189" t="s">
        <v>534</v>
      </c>
      <c r="M39" s="183" t="s">
        <v>530</v>
      </c>
      <c r="N39" s="189" t="s">
        <v>507</v>
      </c>
      <c r="O39" s="202" t="s">
        <v>554</v>
      </c>
      <c r="P39" s="203"/>
      <c r="Q39" s="192">
        <v>100</v>
      </c>
      <c r="R39" s="193">
        <v>3678</v>
      </c>
      <c r="S39" s="195"/>
      <c r="T39" s="194">
        <v>1</v>
      </c>
      <c r="U39" s="193">
        <v>3678</v>
      </c>
      <c r="V39" s="196">
        <f t="shared" si="0"/>
        <v>40909</v>
      </c>
      <c r="W39" s="197">
        <f t="shared" si="7"/>
        <v>144</v>
      </c>
      <c r="X39" s="197"/>
      <c r="Y39" s="198">
        <f t="shared" si="1"/>
        <v>1</v>
      </c>
      <c r="Z39" s="199">
        <f t="shared" si="8"/>
        <v>3678</v>
      </c>
      <c r="AA39" s="198">
        <f t="shared" si="2"/>
        <v>0</v>
      </c>
      <c r="AB39" s="199">
        <f t="shared" si="9"/>
        <v>0</v>
      </c>
      <c r="AC39" s="198">
        <f t="shared" si="3"/>
        <v>0</v>
      </c>
      <c r="AD39" s="199">
        <f t="shared" si="10"/>
        <v>0</v>
      </c>
      <c r="AE39" s="198">
        <f t="shared" si="4"/>
        <v>0</v>
      </c>
      <c r="AF39" s="199">
        <f t="shared" si="11"/>
        <v>0</v>
      </c>
      <c r="AG39" s="198">
        <f t="shared" si="5"/>
        <v>0</v>
      </c>
      <c r="AH39" s="199">
        <f t="shared" si="12"/>
        <v>0</v>
      </c>
      <c r="AI39" s="198">
        <f t="shared" si="6"/>
        <v>0</v>
      </c>
      <c r="AJ39" s="199">
        <f t="shared" si="13"/>
        <v>0</v>
      </c>
    </row>
    <row r="40" spans="1:36" ht="21.75" customHeight="1" x14ac:dyDescent="0.25">
      <c r="A40" s="185" t="s">
        <v>912</v>
      </c>
      <c r="B40" s="185" t="s">
        <v>531</v>
      </c>
      <c r="C40" s="185" t="s">
        <v>499</v>
      </c>
      <c r="D40" s="186" t="s">
        <v>500</v>
      </c>
      <c r="E40" s="185" t="s">
        <v>509</v>
      </c>
      <c r="F40" s="187">
        <v>37</v>
      </c>
      <c r="G40" s="188" t="s">
        <v>591</v>
      </c>
      <c r="H40" s="189" t="s">
        <v>596</v>
      </c>
      <c r="I40" s="212" t="s">
        <v>946</v>
      </c>
      <c r="J40" s="183"/>
      <c r="K40" s="183"/>
      <c r="L40" s="189" t="s">
        <v>534</v>
      </c>
      <c r="M40" s="183" t="s">
        <v>530</v>
      </c>
      <c r="N40" s="189" t="s">
        <v>507</v>
      </c>
      <c r="O40" s="202" t="s">
        <v>554</v>
      </c>
      <c r="P40" s="203"/>
      <c r="Q40" s="192">
        <v>100</v>
      </c>
      <c r="R40" s="193">
        <v>3678</v>
      </c>
      <c r="S40" s="195"/>
      <c r="T40" s="194">
        <v>1</v>
      </c>
      <c r="U40" s="193">
        <v>3678</v>
      </c>
      <c r="V40" s="196">
        <f t="shared" si="0"/>
        <v>40909</v>
      </c>
      <c r="W40" s="197">
        <f t="shared" si="7"/>
        <v>144</v>
      </c>
      <c r="X40" s="197"/>
      <c r="Y40" s="198">
        <f t="shared" si="1"/>
        <v>1</v>
      </c>
      <c r="Z40" s="199">
        <f t="shared" si="8"/>
        <v>3678</v>
      </c>
      <c r="AA40" s="198">
        <f t="shared" si="2"/>
        <v>0</v>
      </c>
      <c r="AB40" s="199">
        <f t="shared" si="9"/>
        <v>0</v>
      </c>
      <c r="AC40" s="198">
        <f t="shared" si="3"/>
        <v>0</v>
      </c>
      <c r="AD40" s="199">
        <f t="shared" si="10"/>
        <v>0</v>
      </c>
      <c r="AE40" s="198">
        <f t="shared" si="4"/>
        <v>0</v>
      </c>
      <c r="AF40" s="199">
        <f t="shared" si="11"/>
        <v>0</v>
      </c>
      <c r="AG40" s="198">
        <f t="shared" si="5"/>
        <v>0</v>
      </c>
      <c r="AH40" s="199">
        <f t="shared" si="12"/>
        <v>0</v>
      </c>
      <c r="AI40" s="198">
        <f t="shared" si="6"/>
        <v>0</v>
      </c>
      <c r="AJ40" s="199">
        <f t="shared" si="13"/>
        <v>0</v>
      </c>
    </row>
    <row r="41" spans="1:36" ht="21.75" customHeight="1" x14ac:dyDescent="0.25">
      <c r="A41" s="185" t="s">
        <v>912</v>
      </c>
      <c r="B41" s="185" t="s">
        <v>531</v>
      </c>
      <c r="C41" s="185" t="s">
        <v>499</v>
      </c>
      <c r="D41" s="186" t="s">
        <v>500</v>
      </c>
      <c r="E41" s="185" t="s">
        <v>509</v>
      </c>
      <c r="F41" s="187">
        <v>38</v>
      </c>
      <c r="G41" s="188" t="s">
        <v>591</v>
      </c>
      <c r="H41" s="189" t="s">
        <v>597</v>
      </c>
      <c r="I41" s="212" t="s">
        <v>946</v>
      </c>
      <c r="J41" s="183"/>
      <c r="K41" s="183"/>
      <c r="L41" s="189" t="s">
        <v>534</v>
      </c>
      <c r="M41" s="183" t="s">
        <v>530</v>
      </c>
      <c r="N41" s="189" t="s">
        <v>507</v>
      </c>
      <c r="O41" s="202" t="s">
        <v>554</v>
      </c>
      <c r="P41" s="203"/>
      <c r="Q41" s="192">
        <v>100</v>
      </c>
      <c r="R41" s="193">
        <v>3678</v>
      </c>
      <c r="S41" s="195"/>
      <c r="T41" s="194">
        <v>1</v>
      </c>
      <c r="U41" s="193">
        <v>3678</v>
      </c>
      <c r="V41" s="196">
        <f t="shared" si="0"/>
        <v>40909</v>
      </c>
      <c r="W41" s="197">
        <f t="shared" si="7"/>
        <v>144</v>
      </c>
      <c r="X41" s="197"/>
      <c r="Y41" s="198">
        <f t="shared" si="1"/>
        <v>1</v>
      </c>
      <c r="Z41" s="199">
        <f t="shared" si="8"/>
        <v>3678</v>
      </c>
      <c r="AA41" s="198">
        <f t="shared" si="2"/>
        <v>0</v>
      </c>
      <c r="AB41" s="199">
        <f t="shared" si="9"/>
        <v>0</v>
      </c>
      <c r="AC41" s="198">
        <f t="shared" si="3"/>
        <v>0</v>
      </c>
      <c r="AD41" s="199">
        <f t="shared" si="10"/>
        <v>0</v>
      </c>
      <c r="AE41" s="198">
        <f t="shared" si="4"/>
        <v>0</v>
      </c>
      <c r="AF41" s="199">
        <f t="shared" si="11"/>
        <v>0</v>
      </c>
      <c r="AG41" s="198">
        <f t="shared" si="5"/>
        <v>0</v>
      </c>
      <c r="AH41" s="199">
        <f t="shared" si="12"/>
        <v>0</v>
      </c>
      <c r="AI41" s="198">
        <f t="shared" si="6"/>
        <v>0</v>
      </c>
      <c r="AJ41" s="199">
        <f t="shared" si="13"/>
        <v>0</v>
      </c>
    </row>
    <row r="42" spans="1:36" ht="21.75" customHeight="1" x14ac:dyDescent="0.25">
      <c r="A42" s="185" t="s">
        <v>912</v>
      </c>
      <c r="B42" s="185" t="s">
        <v>531</v>
      </c>
      <c r="C42" s="185" t="s">
        <v>499</v>
      </c>
      <c r="D42" s="186" t="s">
        <v>500</v>
      </c>
      <c r="E42" s="185" t="s">
        <v>509</v>
      </c>
      <c r="F42" s="187">
        <v>39</v>
      </c>
      <c r="G42" s="188" t="s">
        <v>591</v>
      </c>
      <c r="H42" s="189" t="s">
        <v>598</v>
      </c>
      <c r="I42" s="212" t="s">
        <v>946</v>
      </c>
      <c r="J42" s="183"/>
      <c r="K42" s="183"/>
      <c r="L42" s="189" t="s">
        <v>534</v>
      </c>
      <c r="M42" s="183" t="s">
        <v>530</v>
      </c>
      <c r="N42" s="189" t="s">
        <v>507</v>
      </c>
      <c r="O42" s="202" t="s">
        <v>554</v>
      </c>
      <c r="P42" s="203"/>
      <c r="Q42" s="192">
        <v>100</v>
      </c>
      <c r="R42" s="193">
        <v>3678</v>
      </c>
      <c r="S42" s="195"/>
      <c r="T42" s="194">
        <v>1</v>
      </c>
      <c r="U42" s="193">
        <v>3678</v>
      </c>
      <c r="V42" s="196">
        <f t="shared" si="0"/>
        <v>40909</v>
      </c>
      <c r="W42" s="197">
        <f t="shared" si="7"/>
        <v>144</v>
      </c>
      <c r="X42" s="197"/>
      <c r="Y42" s="198">
        <f t="shared" si="1"/>
        <v>1</v>
      </c>
      <c r="Z42" s="199">
        <f t="shared" si="8"/>
        <v>3678</v>
      </c>
      <c r="AA42" s="198">
        <f t="shared" si="2"/>
        <v>0</v>
      </c>
      <c r="AB42" s="199">
        <f t="shared" si="9"/>
        <v>0</v>
      </c>
      <c r="AC42" s="198">
        <f t="shared" si="3"/>
        <v>0</v>
      </c>
      <c r="AD42" s="199">
        <f t="shared" si="10"/>
        <v>0</v>
      </c>
      <c r="AE42" s="198">
        <f t="shared" si="4"/>
        <v>0</v>
      </c>
      <c r="AF42" s="199">
        <f t="shared" si="11"/>
        <v>0</v>
      </c>
      <c r="AG42" s="198">
        <f t="shared" si="5"/>
        <v>0</v>
      </c>
      <c r="AH42" s="199">
        <f t="shared" si="12"/>
        <v>0</v>
      </c>
      <c r="AI42" s="198">
        <f t="shared" si="6"/>
        <v>0</v>
      </c>
      <c r="AJ42" s="199">
        <f t="shared" si="13"/>
        <v>0</v>
      </c>
    </row>
    <row r="43" spans="1:36" ht="21.75" customHeight="1" x14ac:dyDescent="0.25">
      <c r="A43" s="185" t="s">
        <v>912</v>
      </c>
      <c r="B43" s="185" t="s">
        <v>531</v>
      </c>
      <c r="C43" s="185" t="s">
        <v>499</v>
      </c>
      <c r="D43" s="186" t="s">
        <v>500</v>
      </c>
      <c r="E43" s="185" t="s">
        <v>509</v>
      </c>
      <c r="F43" s="187">
        <v>40</v>
      </c>
      <c r="G43" s="188" t="s">
        <v>591</v>
      </c>
      <c r="H43" s="189" t="s">
        <v>599</v>
      </c>
      <c r="I43" s="212" t="s">
        <v>946</v>
      </c>
      <c r="J43" s="183"/>
      <c r="K43" s="183"/>
      <c r="L43" s="189" t="s">
        <v>534</v>
      </c>
      <c r="M43" s="183" t="s">
        <v>530</v>
      </c>
      <c r="N43" s="189" t="s">
        <v>507</v>
      </c>
      <c r="O43" s="202" t="s">
        <v>554</v>
      </c>
      <c r="P43" s="203"/>
      <c r="Q43" s="192">
        <v>100</v>
      </c>
      <c r="R43" s="193">
        <v>3678</v>
      </c>
      <c r="S43" s="195"/>
      <c r="T43" s="194">
        <v>1</v>
      </c>
      <c r="U43" s="193">
        <v>3678</v>
      </c>
      <c r="V43" s="196">
        <f t="shared" si="0"/>
        <v>40909</v>
      </c>
      <c r="W43" s="197">
        <f t="shared" si="7"/>
        <v>144</v>
      </c>
      <c r="X43" s="197"/>
      <c r="Y43" s="198">
        <f t="shared" si="1"/>
        <v>1</v>
      </c>
      <c r="Z43" s="199">
        <f t="shared" si="8"/>
        <v>3678</v>
      </c>
      <c r="AA43" s="198">
        <f t="shared" si="2"/>
        <v>0</v>
      </c>
      <c r="AB43" s="199">
        <f t="shared" si="9"/>
        <v>0</v>
      </c>
      <c r="AC43" s="198">
        <f t="shared" si="3"/>
        <v>0</v>
      </c>
      <c r="AD43" s="199">
        <f t="shared" si="10"/>
        <v>0</v>
      </c>
      <c r="AE43" s="198">
        <f t="shared" si="4"/>
        <v>0</v>
      </c>
      <c r="AF43" s="199">
        <f t="shared" si="11"/>
        <v>0</v>
      </c>
      <c r="AG43" s="198">
        <f t="shared" si="5"/>
        <v>0</v>
      </c>
      <c r="AH43" s="199">
        <f t="shared" si="12"/>
        <v>0</v>
      </c>
      <c r="AI43" s="198">
        <f t="shared" si="6"/>
        <v>0</v>
      </c>
      <c r="AJ43" s="199">
        <f t="shared" si="13"/>
        <v>0</v>
      </c>
    </row>
    <row r="44" spans="1:36" ht="21.75" customHeight="1" x14ac:dyDescent="0.25">
      <c r="A44" s="185" t="s">
        <v>912</v>
      </c>
      <c r="B44" s="185" t="s">
        <v>531</v>
      </c>
      <c r="C44" s="185" t="s">
        <v>499</v>
      </c>
      <c r="D44" s="186" t="s">
        <v>500</v>
      </c>
      <c r="E44" s="185" t="s">
        <v>509</v>
      </c>
      <c r="F44" s="187">
        <v>41</v>
      </c>
      <c r="G44" s="188" t="s">
        <v>591</v>
      </c>
      <c r="H44" s="189" t="s">
        <v>600</v>
      </c>
      <c r="I44" s="212" t="s">
        <v>946</v>
      </c>
      <c r="J44" s="183"/>
      <c r="K44" s="183"/>
      <c r="L44" s="189" t="s">
        <v>534</v>
      </c>
      <c r="M44" s="183" t="s">
        <v>530</v>
      </c>
      <c r="N44" s="189" t="s">
        <v>507</v>
      </c>
      <c r="O44" s="202" t="s">
        <v>554</v>
      </c>
      <c r="P44" s="203"/>
      <c r="Q44" s="192">
        <v>100</v>
      </c>
      <c r="R44" s="193">
        <v>3678</v>
      </c>
      <c r="S44" s="195"/>
      <c r="T44" s="194">
        <v>1</v>
      </c>
      <c r="U44" s="193">
        <v>3678</v>
      </c>
      <c r="V44" s="196">
        <f t="shared" si="0"/>
        <v>40909</v>
      </c>
      <c r="W44" s="197">
        <f t="shared" si="7"/>
        <v>144</v>
      </c>
      <c r="X44" s="197"/>
      <c r="Y44" s="198">
        <f t="shared" si="1"/>
        <v>1</v>
      </c>
      <c r="Z44" s="199">
        <f t="shared" si="8"/>
        <v>3678</v>
      </c>
      <c r="AA44" s="198">
        <f t="shared" si="2"/>
        <v>0</v>
      </c>
      <c r="AB44" s="199">
        <f t="shared" si="9"/>
        <v>0</v>
      </c>
      <c r="AC44" s="198">
        <f t="shared" si="3"/>
        <v>0</v>
      </c>
      <c r="AD44" s="199">
        <f t="shared" si="10"/>
        <v>0</v>
      </c>
      <c r="AE44" s="198">
        <f t="shared" si="4"/>
        <v>0</v>
      </c>
      <c r="AF44" s="199">
        <f t="shared" si="11"/>
        <v>0</v>
      </c>
      <c r="AG44" s="198">
        <f t="shared" si="5"/>
        <v>0</v>
      </c>
      <c r="AH44" s="199">
        <f t="shared" si="12"/>
        <v>0</v>
      </c>
      <c r="AI44" s="198">
        <f t="shared" si="6"/>
        <v>0</v>
      </c>
      <c r="AJ44" s="199">
        <f t="shared" si="13"/>
        <v>0</v>
      </c>
    </row>
    <row r="45" spans="1:36" ht="21.75" customHeight="1" x14ac:dyDescent="0.25">
      <c r="A45" s="185" t="s">
        <v>912</v>
      </c>
      <c r="B45" s="185" t="s">
        <v>531</v>
      </c>
      <c r="C45" s="185" t="s">
        <v>499</v>
      </c>
      <c r="D45" s="186" t="s">
        <v>500</v>
      </c>
      <c r="E45" s="185" t="s">
        <v>509</v>
      </c>
      <c r="F45" s="187">
        <v>42</v>
      </c>
      <c r="G45" s="188" t="s">
        <v>591</v>
      </c>
      <c r="H45" s="189" t="s">
        <v>601</v>
      </c>
      <c r="I45" s="212" t="s">
        <v>946</v>
      </c>
      <c r="J45" s="183"/>
      <c r="K45" s="183"/>
      <c r="L45" s="189" t="s">
        <v>534</v>
      </c>
      <c r="M45" s="183" t="s">
        <v>530</v>
      </c>
      <c r="N45" s="189" t="s">
        <v>507</v>
      </c>
      <c r="O45" s="202" t="s">
        <v>554</v>
      </c>
      <c r="P45" s="203"/>
      <c r="Q45" s="192">
        <v>100</v>
      </c>
      <c r="R45" s="193">
        <v>3678</v>
      </c>
      <c r="S45" s="195"/>
      <c r="T45" s="194">
        <v>1</v>
      </c>
      <c r="U45" s="193">
        <v>3678</v>
      </c>
      <c r="V45" s="196">
        <f t="shared" si="0"/>
        <v>40909</v>
      </c>
      <c r="W45" s="197">
        <f t="shared" si="7"/>
        <v>144</v>
      </c>
      <c r="X45" s="197"/>
      <c r="Y45" s="198">
        <f t="shared" si="1"/>
        <v>1</v>
      </c>
      <c r="Z45" s="199">
        <f t="shared" si="8"/>
        <v>3678</v>
      </c>
      <c r="AA45" s="198">
        <f t="shared" si="2"/>
        <v>0</v>
      </c>
      <c r="AB45" s="199">
        <f t="shared" si="9"/>
        <v>0</v>
      </c>
      <c r="AC45" s="198">
        <f t="shared" si="3"/>
        <v>0</v>
      </c>
      <c r="AD45" s="199">
        <f t="shared" si="10"/>
        <v>0</v>
      </c>
      <c r="AE45" s="198">
        <f t="shared" si="4"/>
        <v>0</v>
      </c>
      <c r="AF45" s="199">
        <f t="shared" si="11"/>
        <v>0</v>
      </c>
      <c r="AG45" s="198">
        <f t="shared" si="5"/>
        <v>0</v>
      </c>
      <c r="AH45" s="199">
        <f t="shared" si="12"/>
        <v>0</v>
      </c>
      <c r="AI45" s="198">
        <f t="shared" si="6"/>
        <v>0</v>
      </c>
      <c r="AJ45" s="199">
        <f t="shared" si="13"/>
        <v>0</v>
      </c>
    </row>
    <row r="46" spans="1:36" ht="21.75" customHeight="1" x14ac:dyDescent="0.25">
      <c r="A46" s="185" t="s">
        <v>912</v>
      </c>
      <c r="B46" s="185" t="s">
        <v>531</v>
      </c>
      <c r="C46" s="185" t="s">
        <v>499</v>
      </c>
      <c r="D46" s="186" t="s">
        <v>500</v>
      </c>
      <c r="E46" s="185" t="s">
        <v>509</v>
      </c>
      <c r="F46" s="187">
        <v>43</v>
      </c>
      <c r="G46" s="188" t="s">
        <v>591</v>
      </c>
      <c r="H46" s="189" t="s">
        <v>604</v>
      </c>
      <c r="I46" s="212" t="s">
        <v>946</v>
      </c>
      <c r="J46" s="183"/>
      <c r="K46" s="183"/>
      <c r="L46" s="189" t="s">
        <v>534</v>
      </c>
      <c r="M46" s="183" t="s">
        <v>530</v>
      </c>
      <c r="N46" s="189" t="s">
        <v>507</v>
      </c>
      <c r="O46" s="202" t="s">
        <v>554</v>
      </c>
      <c r="P46" s="203"/>
      <c r="Q46" s="192">
        <v>100</v>
      </c>
      <c r="R46" s="193">
        <v>3678</v>
      </c>
      <c r="S46" s="195"/>
      <c r="T46" s="194">
        <v>1</v>
      </c>
      <c r="U46" s="193">
        <v>3678</v>
      </c>
      <c r="V46" s="196">
        <f t="shared" si="0"/>
        <v>40909</v>
      </c>
      <c r="W46" s="197">
        <f t="shared" si="7"/>
        <v>144</v>
      </c>
      <c r="X46" s="197"/>
      <c r="Y46" s="198">
        <f t="shared" si="1"/>
        <v>1</v>
      </c>
      <c r="Z46" s="199">
        <f t="shared" si="8"/>
        <v>3678</v>
      </c>
      <c r="AA46" s="198">
        <f t="shared" si="2"/>
        <v>0</v>
      </c>
      <c r="AB46" s="199">
        <f t="shared" si="9"/>
        <v>0</v>
      </c>
      <c r="AC46" s="198">
        <f t="shared" si="3"/>
        <v>0</v>
      </c>
      <c r="AD46" s="199">
        <f t="shared" si="10"/>
        <v>0</v>
      </c>
      <c r="AE46" s="198">
        <f t="shared" si="4"/>
        <v>0</v>
      </c>
      <c r="AF46" s="199">
        <f t="shared" si="11"/>
        <v>0</v>
      </c>
      <c r="AG46" s="198">
        <f t="shared" si="5"/>
        <v>0</v>
      </c>
      <c r="AH46" s="199">
        <f t="shared" si="12"/>
        <v>0</v>
      </c>
      <c r="AI46" s="198">
        <f t="shared" si="6"/>
        <v>0</v>
      </c>
      <c r="AJ46" s="199">
        <f t="shared" si="13"/>
        <v>0</v>
      </c>
    </row>
    <row r="47" spans="1:36" ht="21.75" customHeight="1" x14ac:dyDescent="0.25">
      <c r="A47" s="185" t="s">
        <v>912</v>
      </c>
      <c r="B47" s="185" t="s">
        <v>531</v>
      </c>
      <c r="C47" s="185" t="s">
        <v>499</v>
      </c>
      <c r="D47" s="186" t="s">
        <v>500</v>
      </c>
      <c r="E47" s="185" t="s">
        <v>509</v>
      </c>
      <c r="F47" s="187">
        <v>44</v>
      </c>
      <c r="G47" s="188" t="s">
        <v>591</v>
      </c>
      <c r="H47" s="189" t="s">
        <v>603</v>
      </c>
      <c r="I47" s="212" t="s">
        <v>946</v>
      </c>
      <c r="J47" s="183"/>
      <c r="K47" s="183"/>
      <c r="L47" s="189" t="s">
        <v>534</v>
      </c>
      <c r="M47" s="183" t="s">
        <v>530</v>
      </c>
      <c r="N47" s="189" t="s">
        <v>507</v>
      </c>
      <c r="O47" s="202" t="s">
        <v>554</v>
      </c>
      <c r="P47" s="203"/>
      <c r="Q47" s="192">
        <v>100</v>
      </c>
      <c r="R47" s="193">
        <v>3678</v>
      </c>
      <c r="S47" s="195"/>
      <c r="T47" s="194">
        <v>1</v>
      </c>
      <c r="U47" s="193">
        <v>3678</v>
      </c>
      <c r="V47" s="196">
        <f t="shared" si="0"/>
        <v>40909</v>
      </c>
      <c r="W47" s="197">
        <f t="shared" si="7"/>
        <v>144</v>
      </c>
      <c r="X47" s="197"/>
      <c r="Y47" s="198">
        <f t="shared" si="1"/>
        <v>1</v>
      </c>
      <c r="Z47" s="199">
        <f t="shared" si="8"/>
        <v>3678</v>
      </c>
      <c r="AA47" s="198">
        <f t="shared" si="2"/>
        <v>0</v>
      </c>
      <c r="AB47" s="199">
        <f t="shared" si="9"/>
        <v>0</v>
      </c>
      <c r="AC47" s="198">
        <f t="shared" si="3"/>
        <v>0</v>
      </c>
      <c r="AD47" s="199">
        <f t="shared" si="10"/>
        <v>0</v>
      </c>
      <c r="AE47" s="198">
        <f t="shared" si="4"/>
        <v>0</v>
      </c>
      <c r="AF47" s="199">
        <f t="shared" si="11"/>
        <v>0</v>
      </c>
      <c r="AG47" s="198">
        <f t="shared" si="5"/>
        <v>0</v>
      </c>
      <c r="AH47" s="199">
        <f t="shared" si="12"/>
        <v>0</v>
      </c>
      <c r="AI47" s="198">
        <f t="shared" si="6"/>
        <v>0</v>
      </c>
      <c r="AJ47" s="199">
        <f t="shared" si="13"/>
        <v>0</v>
      </c>
    </row>
    <row r="48" spans="1:36" ht="21.75" customHeight="1" x14ac:dyDescent="0.25">
      <c r="A48" s="185" t="s">
        <v>912</v>
      </c>
      <c r="B48" s="185" t="s">
        <v>531</v>
      </c>
      <c r="C48" s="185" t="s">
        <v>499</v>
      </c>
      <c r="D48" s="186" t="s">
        <v>500</v>
      </c>
      <c r="E48" s="185" t="s">
        <v>509</v>
      </c>
      <c r="F48" s="187">
        <v>45</v>
      </c>
      <c r="G48" s="188" t="s">
        <v>591</v>
      </c>
      <c r="H48" s="189" t="s">
        <v>602</v>
      </c>
      <c r="I48" s="212" t="s">
        <v>946</v>
      </c>
      <c r="J48" s="183"/>
      <c r="K48" s="183"/>
      <c r="L48" s="189" t="s">
        <v>534</v>
      </c>
      <c r="M48" s="183" t="s">
        <v>530</v>
      </c>
      <c r="N48" s="189" t="s">
        <v>507</v>
      </c>
      <c r="O48" s="202" t="s">
        <v>554</v>
      </c>
      <c r="P48" s="203"/>
      <c r="Q48" s="192">
        <v>100</v>
      </c>
      <c r="R48" s="193">
        <v>3678</v>
      </c>
      <c r="S48" s="195"/>
      <c r="T48" s="194">
        <v>1</v>
      </c>
      <c r="U48" s="193">
        <v>3678</v>
      </c>
      <c r="V48" s="196">
        <f t="shared" si="0"/>
        <v>40909</v>
      </c>
      <c r="W48" s="197">
        <f t="shared" si="7"/>
        <v>144</v>
      </c>
      <c r="X48" s="197"/>
      <c r="Y48" s="198">
        <f t="shared" si="1"/>
        <v>1</v>
      </c>
      <c r="Z48" s="199">
        <f t="shared" si="8"/>
        <v>3678</v>
      </c>
      <c r="AA48" s="198">
        <f t="shared" si="2"/>
        <v>0</v>
      </c>
      <c r="AB48" s="199">
        <f t="shared" si="9"/>
        <v>0</v>
      </c>
      <c r="AC48" s="198">
        <f t="shared" si="3"/>
        <v>0</v>
      </c>
      <c r="AD48" s="199">
        <f t="shared" si="10"/>
        <v>0</v>
      </c>
      <c r="AE48" s="198">
        <f t="shared" si="4"/>
        <v>0</v>
      </c>
      <c r="AF48" s="199">
        <f t="shared" si="11"/>
        <v>0</v>
      </c>
      <c r="AG48" s="198">
        <f t="shared" si="5"/>
        <v>0</v>
      </c>
      <c r="AH48" s="199">
        <f t="shared" si="12"/>
        <v>0</v>
      </c>
      <c r="AI48" s="198">
        <f t="shared" si="6"/>
        <v>0</v>
      </c>
      <c r="AJ48" s="199">
        <f t="shared" si="13"/>
        <v>0</v>
      </c>
    </row>
    <row r="49" spans="1:36" ht="21.75" customHeight="1" x14ac:dyDescent="0.25">
      <c r="A49" s="185" t="s">
        <v>912</v>
      </c>
      <c r="B49" s="185" t="s">
        <v>531</v>
      </c>
      <c r="C49" s="185" t="s">
        <v>499</v>
      </c>
      <c r="D49" s="186" t="s">
        <v>500</v>
      </c>
      <c r="E49" s="185" t="s">
        <v>509</v>
      </c>
      <c r="F49" s="187">
        <v>46</v>
      </c>
      <c r="G49" s="188" t="s">
        <v>591</v>
      </c>
      <c r="H49" s="189" t="s">
        <v>605</v>
      </c>
      <c r="I49" s="212" t="s">
        <v>946</v>
      </c>
      <c r="J49" s="183"/>
      <c r="K49" s="183"/>
      <c r="L49" s="189" t="s">
        <v>534</v>
      </c>
      <c r="M49" s="183" t="s">
        <v>530</v>
      </c>
      <c r="N49" s="189" t="s">
        <v>507</v>
      </c>
      <c r="O49" s="202" t="s">
        <v>554</v>
      </c>
      <c r="P49" s="203"/>
      <c r="Q49" s="192">
        <v>100</v>
      </c>
      <c r="R49" s="193">
        <v>3678</v>
      </c>
      <c r="S49" s="195"/>
      <c r="T49" s="194">
        <v>1</v>
      </c>
      <c r="U49" s="193">
        <v>3678</v>
      </c>
      <c r="V49" s="196">
        <f t="shared" si="0"/>
        <v>40909</v>
      </c>
      <c r="W49" s="197">
        <f t="shared" si="7"/>
        <v>144</v>
      </c>
      <c r="X49" s="197"/>
      <c r="Y49" s="198">
        <f t="shared" si="1"/>
        <v>1</v>
      </c>
      <c r="Z49" s="199">
        <f t="shared" si="8"/>
        <v>3678</v>
      </c>
      <c r="AA49" s="198">
        <f t="shared" si="2"/>
        <v>0</v>
      </c>
      <c r="AB49" s="199">
        <f t="shared" si="9"/>
        <v>0</v>
      </c>
      <c r="AC49" s="198">
        <f t="shared" si="3"/>
        <v>0</v>
      </c>
      <c r="AD49" s="199">
        <f t="shared" si="10"/>
        <v>0</v>
      </c>
      <c r="AE49" s="198">
        <f t="shared" si="4"/>
        <v>0</v>
      </c>
      <c r="AF49" s="199">
        <f t="shared" si="11"/>
        <v>0</v>
      </c>
      <c r="AG49" s="198">
        <f t="shared" si="5"/>
        <v>0</v>
      </c>
      <c r="AH49" s="199">
        <f t="shared" si="12"/>
        <v>0</v>
      </c>
      <c r="AI49" s="198">
        <f t="shared" si="6"/>
        <v>0</v>
      </c>
      <c r="AJ49" s="199">
        <f t="shared" si="13"/>
        <v>0</v>
      </c>
    </row>
    <row r="50" spans="1:36" ht="21.75" customHeight="1" x14ac:dyDescent="0.25">
      <c r="A50" s="185" t="s">
        <v>912</v>
      </c>
      <c r="B50" s="185" t="s">
        <v>531</v>
      </c>
      <c r="C50" s="185" t="s">
        <v>499</v>
      </c>
      <c r="D50" s="186" t="s">
        <v>500</v>
      </c>
      <c r="E50" s="185" t="s">
        <v>509</v>
      </c>
      <c r="F50" s="187">
        <v>47</v>
      </c>
      <c r="G50" s="188" t="s">
        <v>591</v>
      </c>
      <c r="H50" s="189" t="s">
        <v>595</v>
      </c>
      <c r="I50" s="212" t="s">
        <v>946</v>
      </c>
      <c r="J50" s="183"/>
      <c r="K50" s="183"/>
      <c r="L50" s="189" t="s">
        <v>534</v>
      </c>
      <c r="M50" s="183" t="s">
        <v>530</v>
      </c>
      <c r="N50" s="189" t="s">
        <v>507</v>
      </c>
      <c r="O50" s="202" t="s">
        <v>554</v>
      </c>
      <c r="P50" s="203"/>
      <c r="Q50" s="192">
        <v>100</v>
      </c>
      <c r="R50" s="193">
        <v>3678</v>
      </c>
      <c r="S50" s="195"/>
      <c r="T50" s="194">
        <v>1</v>
      </c>
      <c r="U50" s="193">
        <v>3678</v>
      </c>
      <c r="V50" s="196">
        <f t="shared" si="0"/>
        <v>40909</v>
      </c>
      <c r="W50" s="197">
        <f t="shared" si="7"/>
        <v>144</v>
      </c>
      <c r="X50" s="197"/>
      <c r="Y50" s="198">
        <f t="shared" si="1"/>
        <v>1</v>
      </c>
      <c r="Z50" s="199">
        <f t="shared" si="8"/>
        <v>3678</v>
      </c>
      <c r="AA50" s="198">
        <f t="shared" si="2"/>
        <v>0</v>
      </c>
      <c r="AB50" s="199">
        <f t="shared" si="9"/>
        <v>0</v>
      </c>
      <c r="AC50" s="198">
        <f t="shared" si="3"/>
        <v>0</v>
      </c>
      <c r="AD50" s="199">
        <f t="shared" si="10"/>
        <v>0</v>
      </c>
      <c r="AE50" s="198">
        <f t="shared" si="4"/>
        <v>0</v>
      </c>
      <c r="AF50" s="199">
        <f t="shared" si="11"/>
        <v>0</v>
      </c>
      <c r="AG50" s="198">
        <f t="shared" si="5"/>
        <v>0</v>
      </c>
      <c r="AH50" s="199">
        <f t="shared" si="12"/>
        <v>0</v>
      </c>
      <c r="AI50" s="198">
        <f t="shared" si="6"/>
        <v>0</v>
      </c>
      <c r="AJ50" s="199">
        <f t="shared" si="13"/>
        <v>0</v>
      </c>
    </row>
    <row r="51" spans="1:36" ht="21.75" customHeight="1" x14ac:dyDescent="0.25">
      <c r="A51" s="185" t="s">
        <v>912</v>
      </c>
      <c r="B51" s="185" t="s">
        <v>531</v>
      </c>
      <c r="C51" s="185" t="s">
        <v>499</v>
      </c>
      <c r="D51" s="186" t="s">
        <v>500</v>
      </c>
      <c r="E51" s="185" t="s">
        <v>509</v>
      </c>
      <c r="F51" s="187">
        <v>48</v>
      </c>
      <c r="G51" s="188" t="s">
        <v>606</v>
      </c>
      <c r="H51" s="189" t="s">
        <v>607</v>
      </c>
      <c r="I51" s="212" t="s">
        <v>946</v>
      </c>
      <c r="J51" s="183" t="s">
        <v>608</v>
      </c>
      <c r="K51" s="201">
        <v>2</v>
      </c>
      <c r="L51" s="189" t="s">
        <v>505</v>
      </c>
      <c r="M51" s="183" t="s">
        <v>530</v>
      </c>
      <c r="N51" s="189" t="s">
        <v>507</v>
      </c>
      <c r="O51" s="190">
        <v>2.778</v>
      </c>
      <c r="P51" s="191">
        <v>36</v>
      </c>
      <c r="Q51" s="192">
        <v>100</v>
      </c>
      <c r="R51" s="193">
        <v>56200</v>
      </c>
      <c r="S51" s="195"/>
      <c r="T51" s="194">
        <v>1</v>
      </c>
      <c r="U51" s="193">
        <v>56200</v>
      </c>
      <c r="V51" s="196">
        <f t="shared" si="0"/>
        <v>40909</v>
      </c>
      <c r="W51" s="197">
        <f t="shared" si="7"/>
        <v>144</v>
      </c>
      <c r="X51" s="197"/>
      <c r="Y51" s="198">
        <f t="shared" si="1"/>
        <v>1</v>
      </c>
      <c r="Z51" s="199">
        <f t="shared" si="8"/>
        <v>56200</v>
      </c>
      <c r="AA51" s="198">
        <f t="shared" si="2"/>
        <v>0</v>
      </c>
      <c r="AB51" s="199">
        <f t="shared" si="9"/>
        <v>0</v>
      </c>
      <c r="AC51" s="198">
        <f t="shared" si="3"/>
        <v>0</v>
      </c>
      <c r="AD51" s="199">
        <f t="shared" si="10"/>
        <v>0</v>
      </c>
      <c r="AE51" s="198">
        <f t="shared" si="4"/>
        <v>0</v>
      </c>
      <c r="AF51" s="199">
        <f t="shared" si="11"/>
        <v>0</v>
      </c>
      <c r="AG51" s="198">
        <f t="shared" si="5"/>
        <v>0</v>
      </c>
      <c r="AH51" s="199">
        <f t="shared" si="12"/>
        <v>0</v>
      </c>
      <c r="AI51" s="198">
        <f t="shared" si="6"/>
        <v>0</v>
      </c>
      <c r="AJ51" s="199">
        <f t="shared" si="13"/>
        <v>0</v>
      </c>
    </row>
    <row r="52" spans="1:36" ht="21.75" customHeight="1" x14ac:dyDescent="0.25">
      <c r="A52" s="185" t="s">
        <v>912</v>
      </c>
      <c r="B52" s="185" t="s">
        <v>531</v>
      </c>
      <c r="C52" s="185" t="s">
        <v>499</v>
      </c>
      <c r="D52" s="186" t="s">
        <v>500</v>
      </c>
      <c r="E52" s="185" t="s">
        <v>509</v>
      </c>
      <c r="F52" s="187">
        <v>49</v>
      </c>
      <c r="G52" s="188" t="s">
        <v>609</v>
      </c>
      <c r="H52" s="189" t="s">
        <v>610</v>
      </c>
      <c r="I52" s="212" t="s">
        <v>946</v>
      </c>
      <c r="J52" s="183" t="s">
        <v>529</v>
      </c>
      <c r="K52" s="201">
        <v>2</v>
      </c>
      <c r="L52" s="189" t="s">
        <v>505</v>
      </c>
      <c r="M52" s="183" t="s">
        <v>530</v>
      </c>
      <c r="N52" s="189" t="s">
        <v>507</v>
      </c>
      <c r="O52" s="190">
        <v>2.778</v>
      </c>
      <c r="P52" s="191">
        <v>36</v>
      </c>
      <c r="Q52" s="192">
        <v>100</v>
      </c>
      <c r="R52" s="193">
        <v>70000</v>
      </c>
      <c r="S52" s="195"/>
      <c r="T52" s="194">
        <v>1</v>
      </c>
      <c r="U52" s="193">
        <v>70000</v>
      </c>
      <c r="V52" s="196">
        <f t="shared" si="0"/>
        <v>40909</v>
      </c>
      <c r="W52" s="197">
        <f t="shared" si="7"/>
        <v>144</v>
      </c>
      <c r="X52" s="197"/>
      <c r="Y52" s="198">
        <f t="shared" si="1"/>
        <v>1</v>
      </c>
      <c r="Z52" s="199">
        <f t="shared" si="8"/>
        <v>70000</v>
      </c>
      <c r="AA52" s="198">
        <f t="shared" si="2"/>
        <v>0</v>
      </c>
      <c r="AB52" s="199">
        <f t="shared" si="9"/>
        <v>0</v>
      </c>
      <c r="AC52" s="198">
        <f t="shared" si="3"/>
        <v>0</v>
      </c>
      <c r="AD52" s="199">
        <f t="shared" si="10"/>
        <v>0</v>
      </c>
      <c r="AE52" s="198">
        <f t="shared" si="4"/>
        <v>0</v>
      </c>
      <c r="AF52" s="199">
        <f t="shared" si="11"/>
        <v>0</v>
      </c>
      <c r="AG52" s="198">
        <f t="shared" si="5"/>
        <v>0</v>
      </c>
      <c r="AH52" s="199">
        <f t="shared" si="12"/>
        <v>0</v>
      </c>
      <c r="AI52" s="198">
        <f t="shared" si="6"/>
        <v>0</v>
      </c>
      <c r="AJ52" s="199">
        <f t="shared" si="13"/>
        <v>0</v>
      </c>
    </row>
    <row r="53" spans="1:36" ht="21.75" customHeight="1" x14ac:dyDescent="0.25">
      <c r="A53" s="185" t="s">
        <v>912</v>
      </c>
      <c r="B53" s="185" t="s">
        <v>531</v>
      </c>
      <c r="C53" s="185" t="s">
        <v>499</v>
      </c>
      <c r="D53" s="186" t="s">
        <v>500</v>
      </c>
      <c r="E53" s="185" t="s">
        <v>509</v>
      </c>
      <c r="F53" s="187">
        <v>50</v>
      </c>
      <c r="G53" s="188" t="s">
        <v>611</v>
      </c>
      <c r="H53" s="189" t="s">
        <v>612</v>
      </c>
      <c r="I53" s="212" t="s">
        <v>946</v>
      </c>
      <c r="J53" s="183" t="s">
        <v>584</v>
      </c>
      <c r="K53" s="201">
        <v>2</v>
      </c>
      <c r="L53" s="189" t="s">
        <v>505</v>
      </c>
      <c r="M53" s="183" t="s">
        <v>613</v>
      </c>
      <c r="N53" s="189" t="s">
        <v>507</v>
      </c>
      <c r="O53" s="190">
        <v>2.778</v>
      </c>
      <c r="P53" s="191">
        <v>36</v>
      </c>
      <c r="Q53" s="192">
        <v>100</v>
      </c>
      <c r="R53" s="193">
        <v>27140</v>
      </c>
      <c r="S53" s="195"/>
      <c r="T53" s="194">
        <v>1</v>
      </c>
      <c r="U53" s="193">
        <v>27140</v>
      </c>
      <c r="V53" s="196">
        <f t="shared" si="0"/>
        <v>40299</v>
      </c>
      <c r="W53" s="197">
        <f t="shared" si="7"/>
        <v>164</v>
      </c>
      <c r="X53" s="197"/>
      <c r="Y53" s="198">
        <f t="shared" si="1"/>
        <v>1</v>
      </c>
      <c r="Z53" s="199">
        <f t="shared" si="8"/>
        <v>27140</v>
      </c>
      <c r="AA53" s="198">
        <f t="shared" si="2"/>
        <v>0</v>
      </c>
      <c r="AB53" s="199">
        <f t="shared" si="9"/>
        <v>0</v>
      </c>
      <c r="AC53" s="198">
        <f t="shared" si="3"/>
        <v>0</v>
      </c>
      <c r="AD53" s="199">
        <f t="shared" si="10"/>
        <v>0</v>
      </c>
      <c r="AE53" s="198">
        <f t="shared" si="4"/>
        <v>0</v>
      </c>
      <c r="AF53" s="199">
        <f t="shared" si="11"/>
        <v>0</v>
      </c>
      <c r="AG53" s="198">
        <f t="shared" si="5"/>
        <v>0</v>
      </c>
      <c r="AH53" s="199">
        <f t="shared" si="12"/>
        <v>0</v>
      </c>
      <c r="AI53" s="198">
        <f t="shared" si="6"/>
        <v>0</v>
      </c>
      <c r="AJ53" s="199">
        <f t="shared" si="13"/>
        <v>0</v>
      </c>
    </row>
    <row r="54" spans="1:36" ht="21.75" customHeight="1" x14ac:dyDescent="0.25">
      <c r="A54" s="185" t="s">
        <v>912</v>
      </c>
      <c r="B54" s="185" t="s">
        <v>531</v>
      </c>
      <c r="C54" s="185" t="s">
        <v>499</v>
      </c>
      <c r="D54" s="186" t="s">
        <v>500</v>
      </c>
      <c r="E54" s="185" t="s">
        <v>509</v>
      </c>
      <c r="F54" s="187">
        <v>51</v>
      </c>
      <c r="G54" s="188" t="s">
        <v>614</v>
      </c>
      <c r="H54" s="189" t="s">
        <v>617</v>
      </c>
      <c r="I54" s="212" t="s">
        <v>946</v>
      </c>
      <c r="J54" s="183" t="s">
        <v>584</v>
      </c>
      <c r="K54" s="201">
        <v>2</v>
      </c>
      <c r="L54" s="189" t="s">
        <v>534</v>
      </c>
      <c r="M54" s="183" t="s">
        <v>616</v>
      </c>
      <c r="N54" s="189" t="s">
        <v>507</v>
      </c>
      <c r="O54" s="190">
        <v>2.778</v>
      </c>
      <c r="P54" s="191">
        <v>36</v>
      </c>
      <c r="Q54" s="192">
        <v>100</v>
      </c>
      <c r="R54" s="193">
        <v>21060</v>
      </c>
      <c r="S54" s="195"/>
      <c r="T54" s="194">
        <v>1</v>
      </c>
      <c r="U54" s="193">
        <v>21060</v>
      </c>
      <c r="V54" s="196">
        <f t="shared" si="0"/>
        <v>41122</v>
      </c>
      <c r="W54" s="197">
        <f t="shared" si="7"/>
        <v>137</v>
      </c>
      <c r="X54" s="197"/>
      <c r="Y54" s="198">
        <f t="shared" si="1"/>
        <v>1</v>
      </c>
      <c r="Z54" s="199">
        <f t="shared" si="8"/>
        <v>21060</v>
      </c>
      <c r="AA54" s="198">
        <f t="shared" si="2"/>
        <v>0</v>
      </c>
      <c r="AB54" s="199">
        <f t="shared" si="9"/>
        <v>0</v>
      </c>
      <c r="AC54" s="198">
        <f t="shared" si="3"/>
        <v>0</v>
      </c>
      <c r="AD54" s="199">
        <f t="shared" si="10"/>
        <v>0</v>
      </c>
      <c r="AE54" s="198">
        <f t="shared" si="4"/>
        <v>0</v>
      </c>
      <c r="AF54" s="199">
        <f t="shared" si="11"/>
        <v>0</v>
      </c>
      <c r="AG54" s="198">
        <f t="shared" si="5"/>
        <v>0</v>
      </c>
      <c r="AH54" s="199">
        <f t="shared" si="12"/>
        <v>0</v>
      </c>
      <c r="AI54" s="198">
        <f t="shared" si="6"/>
        <v>0</v>
      </c>
      <c r="AJ54" s="199">
        <f t="shared" si="13"/>
        <v>0</v>
      </c>
    </row>
    <row r="55" spans="1:36" ht="21.75" customHeight="1" x14ac:dyDescent="0.25">
      <c r="A55" s="185" t="s">
        <v>912</v>
      </c>
      <c r="B55" s="185" t="s">
        <v>531</v>
      </c>
      <c r="C55" s="185" t="s">
        <v>499</v>
      </c>
      <c r="D55" s="186" t="s">
        <v>500</v>
      </c>
      <c r="E55" s="185" t="s">
        <v>509</v>
      </c>
      <c r="F55" s="187">
        <v>52</v>
      </c>
      <c r="G55" s="188" t="s">
        <v>614</v>
      </c>
      <c r="H55" s="189" t="s">
        <v>618</v>
      </c>
      <c r="I55" s="212" t="s">
        <v>946</v>
      </c>
      <c r="J55" s="183" t="s">
        <v>584</v>
      </c>
      <c r="K55" s="201">
        <v>2</v>
      </c>
      <c r="L55" s="189" t="s">
        <v>534</v>
      </c>
      <c r="M55" s="183" t="s">
        <v>616</v>
      </c>
      <c r="N55" s="189" t="s">
        <v>507</v>
      </c>
      <c r="O55" s="190">
        <v>2.778</v>
      </c>
      <c r="P55" s="191">
        <v>36</v>
      </c>
      <c r="Q55" s="192">
        <v>100</v>
      </c>
      <c r="R55" s="193">
        <v>21060</v>
      </c>
      <c r="S55" s="195"/>
      <c r="T55" s="194">
        <v>1</v>
      </c>
      <c r="U55" s="193">
        <v>21060</v>
      </c>
      <c r="V55" s="196">
        <f t="shared" si="0"/>
        <v>41122</v>
      </c>
      <c r="W55" s="197">
        <f t="shared" si="7"/>
        <v>137</v>
      </c>
      <c r="X55" s="197"/>
      <c r="Y55" s="198">
        <f t="shared" si="1"/>
        <v>1</v>
      </c>
      <c r="Z55" s="199">
        <f t="shared" si="8"/>
        <v>21060</v>
      </c>
      <c r="AA55" s="198">
        <f t="shared" si="2"/>
        <v>0</v>
      </c>
      <c r="AB55" s="199">
        <f t="shared" si="9"/>
        <v>0</v>
      </c>
      <c r="AC55" s="198">
        <f t="shared" si="3"/>
        <v>0</v>
      </c>
      <c r="AD55" s="199">
        <f t="shared" si="10"/>
        <v>0</v>
      </c>
      <c r="AE55" s="198">
        <f t="shared" si="4"/>
        <v>0</v>
      </c>
      <c r="AF55" s="199">
        <f t="shared" si="11"/>
        <v>0</v>
      </c>
      <c r="AG55" s="198">
        <f t="shared" si="5"/>
        <v>0</v>
      </c>
      <c r="AH55" s="199">
        <f t="shared" si="12"/>
        <v>0</v>
      </c>
      <c r="AI55" s="198">
        <f t="shared" si="6"/>
        <v>0</v>
      </c>
      <c r="AJ55" s="199">
        <f t="shared" si="13"/>
        <v>0</v>
      </c>
    </row>
    <row r="56" spans="1:36" ht="21.75" customHeight="1" x14ac:dyDescent="0.25">
      <c r="A56" s="185" t="s">
        <v>912</v>
      </c>
      <c r="B56" s="185" t="s">
        <v>531</v>
      </c>
      <c r="C56" s="185" t="s">
        <v>499</v>
      </c>
      <c r="D56" s="186" t="s">
        <v>500</v>
      </c>
      <c r="E56" s="185" t="s">
        <v>509</v>
      </c>
      <c r="F56" s="187">
        <v>53</v>
      </c>
      <c r="G56" s="188" t="s">
        <v>614</v>
      </c>
      <c r="H56" s="189" t="s">
        <v>615</v>
      </c>
      <c r="I56" s="212" t="s">
        <v>946</v>
      </c>
      <c r="J56" s="183" t="s">
        <v>584</v>
      </c>
      <c r="K56" s="201">
        <v>2</v>
      </c>
      <c r="L56" s="189" t="s">
        <v>534</v>
      </c>
      <c r="M56" s="183" t="s">
        <v>616</v>
      </c>
      <c r="N56" s="189" t="s">
        <v>507</v>
      </c>
      <c r="O56" s="190">
        <v>2.778</v>
      </c>
      <c r="P56" s="191">
        <v>36</v>
      </c>
      <c r="Q56" s="192">
        <v>100</v>
      </c>
      <c r="R56" s="193">
        <v>21060</v>
      </c>
      <c r="S56" s="195"/>
      <c r="T56" s="194">
        <v>1</v>
      </c>
      <c r="U56" s="193">
        <v>21060</v>
      </c>
      <c r="V56" s="196">
        <f t="shared" si="0"/>
        <v>41122</v>
      </c>
      <c r="W56" s="197">
        <f t="shared" si="7"/>
        <v>137</v>
      </c>
      <c r="X56" s="197"/>
      <c r="Y56" s="198">
        <f t="shared" si="1"/>
        <v>1</v>
      </c>
      <c r="Z56" s="199">
        <f t="shared" si="8"/>
        <v>21060</v>
      </c>
      <c r="AA56" s="198">
        <f t="shared" si="2"/>
        <v>0</v>
      </c>
      <c r="AB56" s="199">
        <f t="shared" si="9"/>
        <v>0</v>
      </c>
      <c r="AC56" s="198">
        <f t="shared" si="3"/>
        <v>0</v>
      </c>
      <c r="AD56" s="199">
        <f t="shared" si="10"/>
        <v>0</v>
      </c>
      <c r="AE56" s="198">
        <f t="shared" si="4"/>
        <v>0</v>
      </c>
      <c r="AF56" s="199">
        <f t="shared" si="11"/>
        <v>0</v>
      </c>
      <c r="AG56" s="198">
        <f t="shared" si="5"/>
        <v>0</v>
      </c>
      <c r="AH56" s="199">
        <f t="shared" si="12"/>
        <v>0</v>
      </c>
      <c r="AI56" s="198">
        <f t="shared" si="6"/>
        <v>0</v>
      </c>
      <c r="AJ56" s="199">
        <f t="shared" si="13"/>
        <v>0</v>
      </c>
    </row>
    <row r="57" spans="1:36" ht="21.75" customHeight="1" x14ac:dyDescent="0.25">
      <c r="A57" s="185" t="s">
        <v>912</v>
      </c>
      <c r="B57" s="185" t="s">
        <v>531</v>
      </c>
      <c r="C57" s="185" t="s">
        <v>499</v>
      </c>
      <c r="D57" s="186" t="s">
        <v>500</v>
      </c>
      <c r="E57" s="185" t="s">
        <v>509</v>
      </c>
      <c r="F57" s="187">
        <v>54</v>
      </c>
      <c r="G57" s="188" t="s">
        <v>619</v>
      </c>
      <c r="H57" s="189" t="s">
        <v>620</v>
      </c>
      <c r="I57" s="212" t="s">
        <v>946</v>
      </c>
      <c r="J57" s="183" t="s">
        <v>621</v>
      </c>
      <c r="K57" s="201">
        <v>4</v>
      </c>
      <c r="L57" s="189" t="s">
        <v>505</v>
      </c>
      <c r="M57" s="183" t="s">
        <v>622</v>
      </c>
      <c r="N57" s="189" t="s">
        <v>507</v>
      </c>
      <c r="O57" s="190">
        <v>1.19</v>
      </c>
      <c r="P57" s="191">
        <v>84</v>
      </c>
      <c r="Q57" s="192">
        <v>100</v>
      </c>
      <c r="R57" s="193">
        <v>76000</v>
      </c>
      <c r="S57" s="195"/>
      <c r="T57" s="194">
        <v>1</v>
      </c>
      <c r="U57" s="193">
        <v>76000</v>
      </c>
      <c r="V57" s="196">
        <f t="shared" si="0"/>
        <v>40299</v>
      </c>
      <c r="W57" s="197">
        <f t="shared" si="7"/>
        <v>164</v>
      </c>
      <c r="X57" s="197"/>
      <c r="Y57" s="198">
        <f t="shared" si="1"/>
        <v>1</v>
      </c>
      <c r="Z57" s="199">
        <f t="shared" si="8"/>
        <v>76000</v>
      </c>
      <c r="AA57" s="198">
        <f t="shared" si="2"/>
        <v>0</v>
      </c>
      <c r="AB57" s="199">
        <f t="shared" si="9"/>
        <v>0</v>
      </c>
      <c r="AC57" s="198">
        <f t="shared" si="3"/>
        <v>0</v>
      </c>
      <c r="AD57" s="199">
        <f t="shared" si="10"/>
        <v>0</v>
      </c>
      <c r="AE57" s="198">
        <f t="shared" si="4"/>
        <v>0</v>
      </c>
      <c r="AF57" s="199">
        <f t="shared" si="11"/>
        <v>0</v>
      </c>
      <c r="AG57" s="198">
        <f t="shared" si="5"/>
        <v>0</v>
      </c>
      <c r="AH57" s="199">
        <f t="shared" si="12"/>
        <v>0</v>
      </c>
      <c r="AI57" s="198">
        <f t="shared" si="6"/>
        <v>0</v>
      </c>
      <c r="AJ57" s="199">
        <f t="shared" si="13"/>
        <v>0</v>
      </c>
    </row>
    <row r="58" spans="1:36" ht="21.75" customHeight="1" x14ac:dyDescent="0.25">
      <c r="A58" s="185" t="s">
        <v>912</v>
      </c>
      <c r="B58" s="185" t="s">
        <v>531</v>
      </c>
      <c r="C58" s="185" t="s">
        <v>499</v>
      </c>
      <c r="D58" s="186" t="s">
        <v>500</v>
      </c>
      <c r="E58" s="185" t="s">
        <v>509</v>
      </c>
      <c r="F58" s="187">
        <v>55</v>
      </c>
      <c r="G58" s="188" t="s">
        <v>614</v>
      </c>
      <c r="H58" s="189" t="s">
        <v>623</v>
      </c>
      <c r="I58" s="212" t="s">
        <v>946</v>
      </c>
      <c r="J58" s="183" t="s">
        <v>584</v>
      </c>
      <c r="K58" s="201">
        <v>2</v>
      </c>
      <c r="L58" s="189" t="s">
        <v>534</v>
      </c>
      <c r="M58" s="183" t="s">
        <v>624</v>
      </c>
      <c r="N58" s="189" t="s">
        <v>507</v>
      </c>
      <c r="O58" s="190">
        <v>2.778</v>
      </c>
      <c r="P58" s="191">
        <v>36</v>
      </c>
      <c r="Q58" s="192">
        <v>100</v>
      </c>
      <c r="R58" s="193">
        <v>19169.599999999999</v>
      </c>
      <c r="S58" s="195"/>
      <c r="T58" s="194">
        <v>1</v>
      </c>
      <c r="U58" s="193">
        <v>19169.599999999999</v>
      </c>
      <c r="V58" s="196">
        <f t="shared" si="0"/>
        <v>40299</v>
      </c>
      <c r="W58" s="197">
        <f t="shared" si="7"/>
        <v>164</v>
      </c>
      <c r="X58" s="197"/>
      <c r="Y58" s="198">
        <f t="shared" si="1"/>
        <v>1</v>
      </c>
      <c r="Z58" s="199">
        <f t="shared" si="8"/>
        <v>19169.599999999999</v>
      </c>
      <c r="AA58" s="198">
        <f t="shared" si="2"/>
        <v>0</v>
      </c>
      <c r="AB58" s="199">
        <f t="shared" si="9"/>
        <v>0</v>
      </c>
      <c r="AC58" s="198">
        <f t="shared" si="3"/>
        <v>0</v>
      </c>
      <c r="AD58" s="199">
        <f t="shared" si="10"/>
        <v>0</v>
      </c>
      <c r="AE58" s="198">
        <f t="shared" si="4"/>
        <v>0</v>
      </c>
      <c r="AF58" s="199">
        <f t="shared" si="11"/>
        <v>0</v>
      </c>
      <c r="AG58" s="198">
        <f t="shared" si="5"/>
        <v>0</v>
      </c>
      <c r="AH58" s="199">
        <f t="shared" si="12"/>
        <v>0</v>
      </c>
      <c r="AI58" s="198">
        <f t="shared" si="6"/>
        <v>0</v>
      </c>
      <c r="AJ58" s="199">
        <f t="shared" si="13"/>
        <v>0</v>
      </c>
    </row>
    <row r="59" spans="1:36" ht="21.75" customHeight="1" x14ac:dyDescent="0.25">
      <c r="A59" s="185" t="s">
        <v>912</v>
      </c>
      <c r="B59" s="185" t="s">
        <v>531</v>
      </c>
      <c r="C59" s="185" t="s">
        <v>499</v>
      </c>
      <c r="D59" s="186" t="s">
        <v>500</v>
      </c>
      <c r="E59" s="185" t="s">
        <v>509</v>
      </c>
      <c r="F59" s="187">
        <v>56</v>
      </c>
      <c r="G59" s="188" t="s">
        <v>614</v>
      </c>
      <c r="H59" s="189" t="s">
        <v>625</v>
      </c>
      <c r="I59" s="212" t="s">
        <v>946</v>
      </c>
      <c r="J59" s="183" t="s">
        <v>584</v>
      </c>
      <c r="K59" s="201">
        <v>2</v>
      </c>
      <c r="L59" s="189" t="s">
        <v>534</v>
      </c>
      <c r="M59" s="183" t="s">
        <v>624</v>
      </c>
      <c r="N59" s="189" t="s">
        <v>507</v>
      </c>
      <c r="O59" s="190">
        <v>2.778</v>
      </c>
      <c r="P59" s="191">
        <v>36</v>
      </c>
      <c r="Q59" s="192">
        <v>100</v>
      </c>
      <c r="R59" s="193">
        <v>19169.599999999999</v>
      </c>
      <c r="S59" s="195"/>
      <c r="T59" s="194">
        <v>1</v>
      </c>
      <c r="U59" s="193">
        <v>19169.599999999999</v>
      </c>
      <c r="V59" s="196">
        <f t="shared" si="0"/>
        <v>40299</v>
      </c>
      <c r="W59" s="197">
        <f t="shared" si="7"/>
        <v>164</v>
      </c>
      <c r="X59" s="197"/>
      <c r="Y59" s="198">
        <f t="shared" si="1"/>
        <v>1</v>
      </c>
      <c r="Z59" s="199">
        <f t="shared" si="8"/>
        <v>19169.599999999999</v>
      </c>
      <c r="AA59" s="198">
        <f t="shared" si="2"/>
        <v>0</v>
      </c>
      <c r="AB59" s="199">
        <f t="shared" si="9"/>
        <v>0</v>
      </c>
      <c r="AC59" s="198">
        <f t="shared" si="3"/>
        <v>0</v>
      </c>
      <c r="AD59" s="199">
        <f t="shared" si="10"/>
        <v>0</v>
      </c>
      <c r="AE59" s="198">
        <f t="shared" si="4"/>
        <v>0</v>
      </c>
      <c r="AF59" s="199">
        <f t="shared" si="11"/>
        <v>0</v>
      </c>
      <c r="AG59" s="198">
        <f t="shared" si="5"/>
        <v>0</v>
      </c>
      <c r="AH59" s="199">
        <f t="shared" si="12"/>
        <v>0</v>
      </c>
      <c r="AI59" s="198">
        <f t="shared" si="6"/>
        <v>0</v>
      </c>
      <c r="AJ59" s="199">
        <f t="shared" si="13"/>
        <v>0</v>
      </c>
    </row>
    <row r="60" spans="1:36" ht="21.75" customHeight="1" x14ac:dyDescent="0.25">
      <c r="A60" s="185" t="s">
        <v>912</v>
      </c>
      <c r="B60" s="185" t="s">
        <v>531</v>
      </c>
      <c r="C60" s="185" t="s">
        <v>499</v>
      </c>
      <c r="D60" s="186" t="s">
        <v>500</v>
      </c>
      <c r="E60" s="185" t="s">
        <v>509</v>
      </c>
      <c r="F60" s="187">
        <v>57</v>
      </c>
      <c r="G60" s="188" t="s">
        <v>626</v>
      </c>
      <c r="H60" s="189" t="s">
        <v>627</v>
      </c>
      <c r="I60" s="212" t="s">
        <v>946</v>
      </c>
      <c r="J60" s="183" t="s">
        <v>529</v>
      </c>
      <c r="K60" s="201">
        <v>2</v>
      </c>
      <c r="L60" s="189" t="s">
        <v>534</v>
      </c>
      <c r="M60" s="183" t="s">
        <v>624</v>
      </c>
      <c r="N60" s="189" t="s">
        <v>507</v>
      </c>
      <c r="O60" s="190">
        <v>2.778</v>
      </c>
      <c r="P60" s="191">
        <v>36</v>
      </c>
      <c r="Q60" s="192">
        <v>100</v>
      </c>
      <c r="R60" s="193">
        <v>8990</v>
      </c>
      <c r="S60" s="195"/>
      <c r="T60" s="194">
        <v>1</v>
      </c>
      <c r="U60" s="193">
        <v>8990</v>
      </c>
      <c r="V60" s="196">
        <f t="shared" si="0"/>
        <v>40299</v>
      </c>
      <c r="W60" s="197">
        <f t="shared" si="7"/>
        <v>164</v>
      </c>
      <c r="X60" s="197"/>
      <c r="Y60" s="198">
        <f t="shared" si="1"/>
        <v>1</v>
      </c>
      <c r="Z60" s="199">
        <f t="shared" si="8"/>
        <v>8990</v>
      </c>
      <c r="AA60" s="198">
        <f t="shared" si="2"/>
        <v>0</v>
      </c>
      <c r="AB60" s="199">
        <f t="shared" si="9"/>
        <v>0</v>
      </c>
      <c r="AC60" s="198">
        <f t="shared" si="3"/>
        <v>0</v>
      </c>
      <c r="AD60" s="199">
        <f t="shared" si="10"/>
        <v>0</v>
      </c>
      <c r="AE60" s="198">
        <f t="shared" si="4"/>
        <v>0</v>
      </c>
      <c r="AF60" s="199">
        <f t="shared" si="11"/>
        <v>0</v>
      </c>
      <c r="AG60" s="198">
        <f t="shared" si="5"/>
        <v>0</v>
      </c>
      <c r="AH60" s="199">
        <f t="shared" si="12"/>
        <v>0</v>
      </c>
      <c r="AI60" s="198">
        <f t="shared" si="6"/>
        <v>0</v>
      </c>
      <c r="AJ60" s="199">
        <f t="shared" si="13"/>
        <v>0</v>
      </c>
    </row>
    <row r="61" spans="1:36" ht="21.75" customHeight="1" x14ac:dyDescent="0.25">
      <c r="A61" s="185" t="s">
        <v>912</v>
      </c>
      <c r="B61" s="185" t="s">
        <v>531</v>
      </c>
      <c r="C61" s="185" t="s">
        <v>499</v>
      </c>
      <c r="D61" s="186" t="s">
        <v>500</v>
      </c>
      <c r="E61" s="185" t="s">
        <v>509</v>
      </c>
      <c r="F61" s="187">
        <v>58</v>
      </c>
      <c r="G61" s="188" t="s">
        <v>628</v>
      </c>
      <c r="H61" s="189" t="s">
        <v>629</v>
      </c>
      <c r="I61" s="212" t="s">
        <v>946</v>
      </c>
      <c r="J61" s="183" t="s">
        <v>529</v>
      </c>
      <c r="K61" s="201">
        <v>2</v>
      </c>
      <c r="L61" s="189" t="s">
        <v>534</v>
      </c>
      <c r="M61" s="183" t="s">
        <v>624</v>
      </c>
      <c r="N61" s="189" t="s">
        <v>507</v>
      </c>
      <c r="O61" s="190">
        <v>2.778</v>
      </c>
      <c r="P61" s="191">
        <v>36</v>
      </c>
      <c r="Q61" s="192">
        <v>100</v>
      </c>
      <c r="R61" s="193">
        <v>5290</v>
      </c>
      <c r="S61" s="195"/>
      <c r="T61" s="194">
        <v>1</v>
      </c>
      <c r="U61" s="193">
        <v>5290</v>
      </c>
      <c r="V61" s="196">
        <f t="shared" si="0"/>
        <v>40299</v>
      </c>
      <c r="W61" s="197">
        <f t="shared" si="7"/>
        <v>164</v>
      </c>
      <c r="X61" s="197"/>
      <c r="Y61" s="198">
        <f t="shared" si="1"/>
        <v>1</v>
      </c>
      <c r="Z61" s="199">
        <f t="shared" si="8"/>
        <v>5290</v>
      </c>
      <c r="AA61" s="198">
        <f t="shared" si="2"/>
        <v>0</v>
      </c>
      <c r="AB61" s="199">
        <f t="shared" si="9"/>
        <v>0</v>
      </c>
      <c r="AC61" s="198">
        <f t="shared" si="3"/>
        <v>0</v>
      </c>
      <c r="AD61" s="199">
        <f t="shared" si="10"/>
        <v>0</v>
      </c>
      <c r="AE61" s="198">
        <f t="shared" si="4"/>
        <v>0</v>
      </c>
      <c r="AF61" s="199">
        <f t="shared" si="11"/>
        <v>0</v>
      </c>
      <c r="AG61" s="198">
        <f t="shared" si="5"/>
        <v>0</v>
      </c>
      <c r="AH61" s="199">
        <f t="shared" si="12"/>
        <v>0</v>
      </c>
      <c r="AI61" s="198">
        <f t="shared" si="6"/>
        <v>0</v>
      </c>
      <c r="AJ61" s="199">
        <f t="shared" si="13"/>
        <v>0</v>
      </c>
    </row>
    <row r="62" spans="1:36" ht="21.75" customHeight="1" x14ac:dyDescent="0.25">
      <c r="A62" s="185" t="s">
        <v>912</v>
      </c>
      <c r="B62" s="185" t="s">
        <v>531</v>
      </c>
      <c r="C62" s="185" t="s">
        <v>499</v>
      </c>
      <c r="D62" s="186" t="s">
        <v>500</v>
      </c>
      <c r="E62" s="185" t="s">
        <v>509</v>
      </c>
      <c r="F62" s="187">
        <v>59</v>
      </c>
      <c r="G62" s="188" t="s">
        <v>630</v>
      </c>
      <c r="H62" s="189" t="s">
        <v>631</v>
      </c>
      <c r="I62" s="212" t="s">
        <v>946</v>
      </c>
      <c r="J62" s="183" t="s">
        <v>632</v>
      </c>
      <c r="K62" s="201">
        <v>2</v>
      </c>
      <c r="L62" s="189" t="s">
        <v>505</v>
      </c>
      <c r="M62" s="183" t="s">
        <v>633</v>
      </c>
      <c r="N62" s="189" t="s">
        <v>507</v>
      </c>
      <c r="O62" s="190">
        <v>2.778</v>
      </c>
      <c r="P62" s="191">
        <v>36</v>
      </c>
      <c r="Q62" s="192">
        <v>100</v>
      </c>
      <c r="R62" s="193">
        <v>36532</v>
      </c>
      <c r="S62" s="195"/>
      <c r="T62" s="194">
        <v>1</v>
      </c>
      <c r="U62" s="193">
        <v>36532</v>
      </c>
      <c r="V62" s="196">
        <f t="shared" si="0"/>
        <v>40330</v>
      </c>
      <c r="W62" s="197">
        <f t="shared" si="7"/>
        <v>163</v>
      </c>
      <c r="X62" s="197"/>
      <c r="Y62" s="198">
        <f t="shared" si="1"/>
        <v>1</v>
      </c>
      <c r="Z62" s="199">
        <f t="shared" si="8"/>
        <v>36532</v>
      </c>
      <c r="AA62" s="198">
        <f t="shared" si="2"/>
        <v>0</v>
      </c>
      <c r="AB62" s="199">
        <f t="shared" si="9"/>
        <v>0</v>
      </c>
      <c r="AC62" s="198">
        <f t="shared" si="3"/>
        <v>0</v>
      </c>
      <c r="AD62" s="199">
        <f t="shared" si="10"/>
        <v>0</v>
      </c>
      <c r="AE62" s="198">
        <f t="shared" si="4"/>
        <v>0</v>
      </c>
      <c r="AF62" s="199">
        <f t="shared" si="11"/>
        <v>0</v>
      </c>
      <c r="AG62" s="198">
        <f t="shared" si="5"/>
        <v>0</v>
      </c>
      <c r="AH62" s="199">
        <f t="shared" si="12"/>
        <v>0</v>
      </c>
      <c r="AI62" s="198">
        <f t="shared" si="6"/>
        <v>0</v>
      </c>
      <c r="AJ62" s="199">
        <f t="shared" si="13"/>
        <v>0</v>
      </c>
    </row>
    <row r="63" spans="1:36" ht="21.75" customHeight="1" x14ac:dyDescent="0.25">
      <c r="A63" s="185" t="s">
        <v>912</v>
      </c>
      <c r="B63" s="185" t="s">
        <v>531</v>
      </c>
      <c r="C63" s="185" t="s">
        <v>499</v>
      </c>
      <c r="D63" s="186" t="s">
        <v>500</v>
      </c>
      <c r="E63" s="185" t="s">
        <v>509</v>
      </c>
      <c r="F63" s="187">
        <v>60</v>
      </c>
      <c r="G63" s="188" t="s">
        <v>634</v>
      </c>
      <c r="H63" s="189" t="s">
        <v>635</v>
      </c>
      <c r="I63" s="212" t="s">
        <v>946</v>
      </c>
      <c r="J63" s="201">
        <v>1</v>
      </c>
      <c r="K63" s="183"/>
      <c r="L63" s="189" t="s">
        <v>534</v>
      </c>
      <c r="M63" s="183" t="s">
        <v>636</v>
      </c>
      <c r="N63" s="189" t="s">
        <v>507</v>
      </c>
      <c r="O63" s="202" t="s">
        <v>554</v>
      </c>
      <c r="P63" s="203"/>
      <c r="Q63" s="192">
        <v>100</v>
      </c>
      <c r="R63" s="193">
        <v>5139.12</v>
      </c>
      <c r="S63" s="195"/>
      <c r="T63" s="194">
        <v>1</v>
      </c>
      <c r="U63" s="193">
        <v>5139.12</v>
      </c>
      <c r="V63" s="196">
        <f t="shared" si="0"/>
        <v>40360</v>
      </c>
      <c r="W63" s="197">
        <f t="shared" si="7"/>
        <v>162</v>
      </c>
      <c r="X63" s="197"/>
      <c r="Y63" s="198">
        <f t="shared" si="1"/>
        <v>1</v>
      </c>
      <c r="Z63" s="199">
        <f t="shared" si="8"/>
        <v>5139.12</v>
      </c>
      <c r="AA63" s="198">
        <f t="shared" si="2"/>
        <v>0</v>
      </c>
      <c r="AB63" s="199">
        <f t="shared" si="9"/>
        <v>0</v>
      </c>
      <c r="AC63" s="198">
        <f t="shared" si="3"/>
        <v>0</v>
      </c>
      <c r="AD63" s="199">
        <f t="shared" si="10"/>
        <v>0</v>
      </c>
      <c r="AE63" s="198">
        <f t="shared" si="4"/>
        <v>0</v>
      </c>
      <c r="AF63" s="199">
        <f t="shared" si="11"/>
        <v>0</v>
      </c>
      <c r="AG63" s="198">
        <f t="shared" si="5"/>
        <v>0</v>
      </c>
      <c r="AH63" s="199">
        <f t="shared" si="12"/>
        <v>0</v>
      </c>
      <c r="AI63" s="198">
        <f t="shared" si="6"/>
        <v>0</v>
      </c>
      <c r="AJ63" s="199">
        <f t="shared" si="13"/>
        <v>0</v>
      </c>
    </row>
    <row r="64" spans="1:36" ht="21.75" customHeight="1" x14ac:dyDescent="0.25">
      <c r="A64" s="185" t="s">
        <v>912</v>
      </c>
      <c r="B64" s="185" t="s">
        <v>531</v>
      </c>
      <c r="C64" s="185" t="s">
        <v>499</v>
      </c>
      <c r="D64" s="186" t="s">
        <v>500</v>
      </c>
      <c r="E64" s="185" t="s">
        <v>509</v>
      </c>
      <c r="F64" s="187">
        <v>61</v>
      </c>
      <c r="G64" s="188" t="s">
        <v>637</v>
      </c>
      <c r="H64" s="189" t="s">
        <v>638</v>
      </c>
      <c r="I64" s="212" t="s">
        <v>946</v>
      </c>
      <c r="J64" s="201">
        <v>1</v>
      </c>
      <c r="K64" s="183"/>
      <c r="L64" s="189" t="s">
        <v>534</v>
      </c>
      <c r="M64" s="183" t="s">
        <v>636</v>
      </c>
      <c r="N64" s="189" t="s">
        <v>507</v>
      </c>
      <c r="O64" s="202" t="s">
        <v>554</v>
      </c>
      <c r="P64" s="203"/>
      <c r="Q64" s="192">
        <v>100</v>
      </c>
      <c r="R64" s="193">
        <v>3742.38</v>
      </c>
      <c r="S64" s="195"/>
      <c r="T64" s="194">
        <v>1</v>
      </c>
      <c r="U64" s="193">
        <v>3742.38</v>
      </c>
      <c r="V64" s="196">
        <f t="shared" si="0"/>
        <v>40360</v>
      </c>
      <c r="W64" s="197">
        <f t="shared" si="7"/>
        <v>162</v>
      </c>
      <c r="X64" s="197"/>
      <c r="Y64" s="198">
        <f t="shared" si="1"/>
        <v>1</v>
      </c>
      <c r="Z64" s="199">
        <f t="shared" si="8"/>
        <v>3742.38</v>
      </c>
      <c r="AA64" s="198">
        <f t="shared" si="2"/>
        <v>0</v>
      </c>
      <c r="AB64" s="199">
        <f t="shared" si="9"/>
        <v>0</v>
      </c>
      <c r="AC64" s="198">
        <f t="shared" si="3"/>
        <v>0</v>
      </c>
      <c r="AD64" s="199">
        <f t="shared" si="10"/>
        <v>0</v>
      </c>
      <c r="AE64" s="198">
        <f t="shared" si="4"/>
        <v>0</v>
      </c>
      <c r="AF64" s="199">
        <f t="shared" si="11"/>
        <v>0</v>
      </c>
      <c r="AG64" s="198">
        <f t="shared" si="5"/>
        <v>0</v>
      </c>
      <c r="AH64" s="199">
        <f t="shared" si="12"/>
        <v>0</v>
      </c>
      <c r="AI64" s="198">
        <f t="shared" si="6"/>
        <v>0</v>
      </c>
      <c r="AJ64" s="199">
        <f t="shared" si="13"/>
        <v>0</v>
      </c>
    </row>
    <row r="65" spans="1:36" ht="21.75" customHeight="1" x14ac:dyDescent="0.25">
      <c r="A65" s="185" t="s">
        <v>912</v>
      </c>
      <c r="B65" s="185" t="s">
        <v>531</v>
      </c>
      <c r="C65" s="185" t="s">
        <v>499</v>
      </c>
      <c r="D65" s="186" t="s">
        <v>500</v>
      </c>
      <c r="E65" s="185" t="s">
        <v>509</v>
      </c>
      <c r="F65" s="187">
        <v>62</v>
      </c>
      <c r="G65" s="188" t="s">
        <v>637</v>
      </c>
      <c r="H65" s="189" t="s">
        <v>639</v>
      </c>
      <c r="I65" s="212" t="s">
        <v>946</v>
      </c>
      <c r="J65" s="201">
        <v>1</v>
      </c>
      <c r="K65" s="183"/>
      <c r="L65" s="189" t="s">
        <v>534</v>
      </c>
      <c r="M65" s="183" t="s">
        <v>636</v>
      </c>
      <c r="N65" s="189" t="s">
        <v>507</v>
      </c>
      <c r="O65" s="202" t="s">
        <v>554</v>
      </c>
      <c r="P65" s="203"/>
      <c r="Q65" s="192">
        <v>100</v>
      </c>
      <c r="R65" s="193">
        <v>3742.38</v>
      </c>
      <c r="S65" s="195"/>
      <c r="T65" s="194">
        <v>1</v>
      </c>
      <c r="U65" s="193">
        <v>3742.38</v>
      </c>
      <c r="V65" s="196">
        <f t="shared" si="0"/>
        <v>40360</v>
      </c>
      <c r="W65" s="197">
        <f t="shared" si="7"/>
        <v>162</v>
      </c>
      <c r="X65" s="197"/>
      <c r="Y65" s="198">
        <f t="shared" si="1"/>
        <v>1</v>
      </c>
      <c r="Z65" s="199">
        <f t="shared" si="8"/>
        <v>3742.38</v>
      </c>
      <c r="AA65" s="198">
        <f t="shared" si="2"/>
        <v>0</v>
      </c>
      <c r="AB65" s="199">
        <f t="shared" si="9"/>
        <v>0</v>
      </c>
      <c r="AC65" s="198">
        <f t="shared" si="3"/>
        <v>0</v>
      </c>
      <c r="AD65" s="199">
        <f t="shared" si="10"/>
        <v>0</v>
      </c>
      <c r="AE65" s="198">
        <f t="shared" si="4"/>
        <v>0</v>
      </c>
      <c r="AF65" s="199">
        <f t="shared" si="11"/>
        <v>0</v>
      </c>
      <c r="AG65" s="198">
        <f t="shared" si="5"/>
        <v>0</v>
      </c>
      <c r="AH65" s="199">
        <f t="shared" si="12"/>
        <v>0</v>
      </c>
      <c r="AI65" s="198">
        <f t="shared" si="6"/>
        <v>0</v>
      </c>
      <c r="AJ65" s="199">
        <f t="shared" si="13"/>
        <v>0</v>
      </c>
    </row>
    <row r="66" spans="1:36" ht="21.75" customHeight="1" x14ac:dyDescent="0.25">
      <c r="A66" s="185" t="s">
        <v>912</v>
      </c>
      <c r="B66" s="185" t="s">
        <v>531</v>
      </c>
      <c r="C66" s="185" t="s">
        <v>499</v>
      </c>
      <c r="D66" s="186" t="s">
        <v>500</v>
      </c>
      <c r="E66" s="185" t="s">
        <v>509</v>
      </c>
      <c r="F66" s="187">
        <v>63</v>
      </c>
      <c r="G66" s="188" t="s">
        <v>640</v>
      </c>
      <c r="H66" s="189" t="s">
        <v>641</v>
      </c>
      <c r="I66" s="212" t="s">
        <v>946</v>
      </c>
      <c r="J66" s="201">
        <v>1</v>
      </c>
      <c r="K66" s="201">
        <v>2</v>
      </c>
      <c r="L66" s="189" t="s">
        <v>534</v>
      </c>
      <c r="M66" s="183" t="s">
        <v>642</v>
      </c>
      <c r="N66" s="189" t="s">
        <v>507</v>
      </c>
      <c r="O66" s="202" t="s">
        <v>554</v>
      </c>
      <c r="P66" s="203"/>
      <c r="Q66" s="192">
        <v>100</v>
      </c>
      <c r="R66" s="193">
        <v>18000</v>
      </c>
      <c r="S66" s="195"/>
      <c r="T66" s="194">
        <v>1</v>
      </c>
      <c r="U66" s="193">
        <v>18000</v>
      </c>
      <c r="V66" s="196">
        <f t="shared" si="0"/>
        <v>40756</v>
      </c>
      <c r="W66" s="197">
        <f t="shared" si="7"/>
        <v>149</v>
      </c>
      <c r="X66" s="197"/>
      <c r="Y66" s="198">
        <f t="shared" si="1"/>
        <v>1</v>
      </c>
      <c r="Z66" s="199">
        <f t="shared" si="8"/>
        <v>18000</v>
      </c>
      <c r="AA66" s="198">
        <f t="shared" si="2"/>
        <v>0</v>
      </c>
      <c r="AB66" s="199">
        <f t="shared" si="9"/>
        <v>0</v>
      </c>
      <c r="AC66" s="198">
        <f t="shared" si="3"/>
        <v>0</v>
      </c>
      <c r="AD66" s="199">
        <f t="shared" si="10"/>
        <v>0</v>
      </c>
      <c r="AE66" s="198">
        <f t="shared" si="4"/>
        <v>0</v>
      </c>
      <c r="AF66" s="199">
        <f t="shared" si="11"/>
        <v>0</v>
      </c>
      <c r="AG66" s="198">
        <f t="shared" si="5"/>
        <v>0</v>
      </c>
      <c r="AH66" s="199">
        <f t="shared" si="12"/>
        <v>0</v>
      </c>
      <c r="AI66" s="198">
        <f t="shared" si="6"/>
        <v>0</v>
      </c>
      <c r="AJ66" s="199">
        <f t="shared" si="13"/>
        <v>0</v>
      </c>
    </row>
    <row r="67" spans="1:36" ht="21.75" customHeight="1" x14ac:dyDescent="0.25">
      <c r="A67" s="185" t="s">
        <v>912</v>
      </c>
      <c r="B67" s="185" t="s">
        <v>531</v>
      </c>
      <c r="C67" s="185" t="s">
        <v>499</v>
      </c>
      <c r="D67" s="186" t="s">
        <v>500</v>
      </c>
      <c r="E67" s="185" t="s">
        <v>509</v>
      </c>
      <c r="F67" s="187">
        <v>64</v>
      </c>
      <c r="G67" s="188" t="s">
        <v>576</v>
      </c>
      <c r="H67" s="189" t="s">
        <v>643</v>
      </c>
      <c r="I67" s="212" t="s">
        <v>946</v>
      </c>
      <c r="J67" s="201">
        <v>1</v>
      </c>
      <c r="K67" s="183"/>
      <c r="L67" s="189" t="s">
        <v>534</v>
      </c>
      <c r="M67" s="183" t="s">
        <v>644</v>
      </c>
      <c r="N67" s="189" t="s">
        <v>507</v>
      </c>
      <c r="O67" s="202" t="s">
        <v>554</v>
      </c>
      <c r="P67" s="203"/>
      <c r="Q67" s="192">
        <v>100</v>
      </c>
      <c r="R67" s="193">
        <v>4020</v>
      </c>
      <c r="S67" s="195"/>
      <c r="T67" s="194">
        <v>1</v>
      </c>
      <c r="U67" s="193">
        <v>4020</v>
      </c>
      <c r="V67" s="196">
        <f t="shared" si="0"/>
        <v>40483</v>
      </c>
      <c r="W67" s="197">
        <f t="shared" si="7"/>
        <v>158</v>
      </c>
      <c r="X67" s="197"/>
      <c r="Y67" s="198">
        <f t="shared" si="1"/>
        <v>1</v>
      </c>
      <c r="Z67" s="199">
        <f t="shared" si="8"/>
        <v>4020</v>
      </c>
      <c r="AA67" s="198">
        <f t="shared" si="2"/>
        <v>0</v>
      </c>
      <c r="AB67" s="199">
        <f t="shared" si="9"/>
        <v>0</v>
      </c>
      <c r="AC67" s="198">
        <f t="shared" si="3"/>
        <v>0</v>
      </c>
      <c r="AD67" s="199">
        <f t="shared" si="10"/>
        <v>0</v>
      </c>
      <c r="AE67" s="198">
        <f t="shared" si="4"/>
        <v>0</v>
      </c>
      <c r="AF67" s="199">
        <f t="shared" si="11"/>
        <v>0</v>
      </c>
      <c r="AG67" s="198">
        <f t="shared" si="5"/>
        <v>0</v>
      </c>
      <c r="AH67" s="199">
        <f t="shared" si="12"/>
        <v>0</v>
      </c>
      <c r="AI67" s="198">
        <f t="shared" si="6"/>
        <v>0</v>
      </c>
      <c r="AJ67" s="199">
        <f t="shared" si="13"/>
        <v>0</v>
      </c>
    </row>
    <row r="68" spans="1:36" ht="21.75" customHeight="1" x14ac:dyDescent="0.25">
      <c r="A68" s="185" t="s">
        <v>912</v>
      </c>
      <c r="B68" s="185" t="s">
        <v>531</v>
      </c>
      <c r="C68" s="185" t="s">
        <v>499</v>
      </c>
      <c r="D68" s="186" t="s">
        <v>508</v>
      </c>
      <c r="E68" s="185" t="s">
        <v>509</v>
      </c>
      <c r="F68" s="187">
        <v>65</v>
      </c>
      <c r="G68" s="188" t="s">
        <v>645</v>
      </c>
      <c r="H68" s="189" t="s">
        <v>649</v>
      </c>
      <c r="I68" s="212" t="s">
        <v>946</v>
      </c>
      <c r="J68" s="183" t="s">
        <v>647</v>
      </c>
      <c r="K68" s="201">
        <v>3</v>
      </c>
      <c r="L68" s="189" t="s">
        <v>534</v>
      </c>
      <c r="M68" s="183" t="s">
        <v>648</v>
      </c>
      <c r="N68" s="189" t="s">
        <v>507</v>
      </c>
      <c r="O68" s="190">
        <v>1.667</v>
      </c>
      <c r="P68" s="191">
        <v>60</v>
      </c>
      <c r="Q68" s="192">
        <v>100</v>
      </c>
      <c r="R68" s="193">
        <v>61500</v>
      </c>
      <c r="S68" s="195"/>
      <c r="T68" s="194">
        <v>1</v>
      </c>
      <c r="U68" s="193">
        <v>61500</v>
      </c>
      <c r="V68" s="196">
        <f t="shared" ref="V68:V131" si="14">IF((DATE(YEAR(M68),MONTH(M68)+1,1))=$V$2,"",DATE(YEAR(M68),MONTH(M68)+1,1))</f>
        <v>44896</v>
      </c>
      <c r="W68" s="197">
        <f t="shared" si="7"/>
        <v>13</v>
      </c>
      <c r="X68" s="197"/>
      <c r="Y68" s="198">
        <f t="shared" ref="Y68:Y131" si="15">IF(W68&gt;=121,T68,0)</f>
        <v>0</v>
      </c>
      <c r="Z68" s="199">
        <f t="shared" si="8"/>
        <v>0</v>
      </c>
      <c r="AA68" s="198">
        <f t="shared" ref="AA68:AA131" si="16">IF(W68&lt;=120,IF(W68&gt;=85,T68,0),0)</f>
        <v>0</v>
      </c>
      <c r="AB68" s="199">
        <f t="shared" si="9"/>
        <v>0</v>
      </c>
      <c r="AC68" s="198">
        <f t="shared" ref="AC68:AC131" si="17">IF(W68&lt;=84,IF(W68&gt;=61,T68,0),0)</f>
        <v>0</v>
      </c>
      <c r="AD68" s="199">
        <f t="shared" si="10"/>
        <v>0</v>
      </c>
      <c r="AE68" s="198">
        <f t="shared" ref="AE68:AE131" si="18">IF(W68&lt;=60,IF(W68&gt;=37,T68,0),0)</f>
        <v>0</v>
      </c>
      <c r="AF68" s="199">
        <f t="shared" si="11"/>
        <v>0</v>
      </c>
      <c r="AG68" s="198">
        <f t="shared" ref="AG68:AG131" si="19">IF(W68&lt;=36,IF(W68&gt;=13,T68,0),0)</f>
        <v>1</v>
      </c>
      <c r="AH68" s="199">
        <f t="shared" si="12"/>
        <v>61500</v>
      </c>
      <c r="AI68" s="198">
        <f t="shared" ref="AI68:AI131" si="20">IF(W68&lt;=12,T68,0)</f>
        <v>0</v>
      </c>
      <c r="AJ68" s="199">
        <f t="shared" si="13"/>
        <v>0</v>
      </c>
    </row>
    <row r="69" spans="1:36" ht="21.75" customHeight="1" x14ac:dyDescent="0.25">
      <c r="A69" s="185" t="s">
        <v>912</v>
      </c>
      <c r="B69" s="185" t="s">
        <v>531</v>
      </c>
      <c r="C69" s="185" t="s">
        <v>499</v>
      </c>
      <c r="D69" s="186" t="s">
        <v>508</v>
      </c>
      <c r="E69" s="185" t="s">
        <v>509</v>
      </c>
      <c r="F69" s="187">
        <v>66</v>
      </c>
      <c r="G69" s="188" t="s">
        <v>645</v>
      </c>
      <c r="H69" s="189" t="s">
        <v>646</v>
      </c>
      <c r="I69" s="212" t="s">
        <v>946</v>
      </c>
      <c r="J69" s="183" t="s">
        <v>647</v>
      </c>
      <c r="K69" s="201">
        <v>3</v>
      </c>
      <c r="L69" s="189" t="s">
        <v>534</v>
      </c>
      <c r="M69" s="183" t="s">
        <v>648</v>
      </c>
      <c r="N69" s="189" t="s">
        <v>507</v>
      </c>
      <c r="O69" s="190">
        <v>1.667</v>
      </c>
      <c r="P69" s="191">
        <v>60</v>
      </c>
      <c r="Q69" s="192">
        <v>100</v>
      </c>
      <c r="R69" s="193">
        <v>61500</v>
      </c>
      <c r="S69" s="195"/>
      <c r="T69" s="194">
        <v>1</v>
      </c>
      <c r="U69" s="193">
        <v>61500</v>
      </c>
      <c r="V69" s="196">
        <f t="shared" si="14"/>
        <v>44896</v>
      </c>
      <c r="W69" s="197">
        <f t="shared" ref="W69:W132" si="21">IF(V69&gt;$W$2,0,DATEDIF(V69,$W$2,"m")+1)</f>
        <v>13</v>
      </c>
      <c r="X69" s="197"/>
      <c r="Y69" s="198">
        <f t="shared" si="15"/>
        <v>0</v>
      </c>
      <c r="Z69" s="199">
        <f t="shared" ref="Z69:Z132" si="22">IF(Y69=0,0,$R69)</f>
        <v>0</v>
      </c>
      <c r="AA69" s="198">
        <f t="shared" si="16"/>
        <v>0</v>
      </c>
      <c r="AB69" s="199">
        <f t="shared" ref="AB69:AB132" si="23">IF(AA69=0,0,$R69)</f>
        <v>0</v>
      </c>
      <c r="AC69" s="198">
        <f t="shared" si="17"/>
        <v>0</v>
      </c>
      <c r="AD69" s="199">
        <f t="shared" ref="AD69:AD132" si="24">IF(AC69=0,0,$R69)</f>
        <v>0</v>
      </c>
      <c r="AE69" s="198">
        <f t="shared" si="18"/>
        <v>0</v>
      </c>
      <c r="AF69" s="199">
        <f t="shared" ref="AF69:AF132" si="25">IF(AE69=0,0,$R69)</f>
        <v>0</v>
      </c>
      <c r="AG69" s="198">
        <f t="shared" si="19"/>
        <v>1</v>
      </c>
      <c r="AH69" s="199">
        <f t="shared" ref="AH69:AH132" si="26">IF(AG69=0,0,$R69)</f>
        <v>61500</v>
      </c>
      <c r="AI69" s="198">
        <f t="shared" si="20"/>
        <v>0</v>
      </c>
      <c r="AJ69" s="199">
        <f t="shared" ref="AJ69:AJ132" si="27">IF(AI69=0,0,$R69)</f>
        <v>0</v>
      </c>
    </row>
    <row r="70" spans="1:36" ht="21.75" customHeight="1" x14ac:dyDescent="0.25">
      <c r="A70" s="185" t="s">
        <v>912</v>
      </c>
      <c r="B70" s="185" t="s">
        <v>531</v>
      </c>
      <c r="C70" s="185" t="s">
        <v>499</v>
      </c>
      <c r="D70" s="186" t="s">
        <v>508</v>
      </c>
      <c r="E70" s="185" t="s">
        <v>509</v>
      </c>
      <c r="F70" s="187">
        <v>67</v>
      </c>
      <c r="G70" s="188" t="s">
        <v>645</v>
      </c>
      <c r="H70" s="189" t="s">
        <v>650</v>
      </c>
      <c r="I70" s="212" t="s">
        <v>946</v>
      </c>
      <c r="J70" s="183" t="s">
        <v>647</v>
      </c>
      <c r="K70" s="201">
        <v>3</v>
      </c>
      <c r="L70" s="189" t="s">
        <v>534</v>
      </c>
      <c r="M70" s="183" t="s">
        <v>648</v>
      </c>
      <c r="N70" s="189" t="s">
        <v>507</v>
      </c>
      <c r="O70" s="190">
        <v>1.667</v>
      </c>
      <c r="P70" s="191">
        <v>60</v>
      </c>
      <c r="Q70" s="192">
        <v>100</v>
      </c>
      <c r="R70" s="193">
        <v>61500</v>
      </c>
      <c r="S70" s="195"/>
      <c r="T70" s="194">
        <v>1</v>
      </c>
      <c r="U70" s="193">
        <v>61500</v>
      </c>
      <c r="V70" s="196">
        <f t="shared" si="14"/>
        <v>44896</v>
      </c>
      <c r="W70" s="197">
        <f t="shared" si="21"/>
        <v>13</v>
      </c>
      <c r="X70" s="197"/>
      <c r="Y70" s="198">
        <f t="shared" si="15"/>
        <v>0</v>
      </c>
      <c r="Z70" s="199">
        <f t="shared" si="22"/>
        <v>0</v>
      </c>
      <c r="AA70" s="198">
        <f t="shared" si="16"/>
        <v>0</v>
      </c>
      <c r="AB70" s="199">
        <f t="shared" si="23"/>
        <v>0</v>
      </c>
      <c r="AC70" s="198">
        <f t="shared" si="17"/>
        <v>0</v>
      </c>
      <c r="AD70" s="199">
        <f t="shared" si="24"/>
        <v>0</v>
      </c>
      <c r="AE70" s="198">
        <f t="shared" si="18"/>
        <v>0</v>
      </c>
      <c r="AF70" s="199">
        <f t="shared" si="25"/>
        <v>0</v>
      </c>
      <c r="AG70" s="198">
        <f t="shared" si="19"/>
        <v>1</v>
      </c>
      <c r="AH70" s="199">
        <f t="shared" si="26"/>
        <v>61500</v>
      </c>
      <c r="AI70" s="198">
        <f t="shared" si="20"/>
        <v>0</v>
      </c>
      <c r="AJ70" s="199">
        <f t="shared" si="27"/>
        <v>0</v>
      </c>
    </row>
    <row r="71" spans="1:36" ht="21.75" customHeight="1" x14ac:dyDescent="0.25">
      <c r="A71" s="185" t="s">
        <v>912</v>
      </c>
      <c r="B71" s="185" t="s">
        <v>531</v>
      </c>
      <c r="C71" s="185" t="s">
        <v>499</v>
      </c>
      <c r="D71" s="186" t="s">
        <v>651</v>
      </c>
      <c r="E71" s="185" t="s">
        <v>1101</v>
      </c>
      <c r="F71" s="187">
        <v>68</v>
      </c>
      <c r="G71" s="188" t="s">
        <v>659</v>
      </c>
      <c r="H71" s="189" t="s">
        <v>660</v>
      </c>
      <c r="I71" s="212" t="s">
        <v>1293</v>
      </c>
      <c r="J71" s="183" t="s">
        <v>661</v>
      </c>
      <c r="K71" s="201">
        <v>2</v>
      </c>
      <c r="L71" s="189" t="s">
        <v>534</v>
      </c>
      <c r="M71" s="183" t="s">
        <v>654</v>
      </c>
      <c r="N71" s="189" t="s">
        <v>507</v>
      </c>
      <c r="O71" s="190">
        <v>2.778</v>
      </c>
      <c r="P71" s="191">
        <v>36</v>
      </c>
      <c r="Q71" s="192">
        <v>100</v>
      </c>
      <c r="R71" s="193">
        <v>16784.439999999999</v>
      </c>
      <c r="S71" s="195"/>
      <c r="T71" s="194">
        <v>1</v>
      </c>
      <c r="U71" s="193">
        <v>16784.439999999999</v>
      </c>
      <c r="V71" s="196">
        <f t="shared" si="14"/>
        <v>44166</v>
      </c>
      <c r="W71" s="197">
        <f t="shared" si="21"/>
        <v>37</v>
      </c>
      <c r="X71" s="197"/>
      <c r="Y71" s="198">
        <f t="shared" si="15"/>
        <v>0</v>
      </c>
      <c r="Z71" s="199">
        <f t="shared" si="22"/>
        <v>0</v>
      </c>
      <c r="AA71" s="198">
        <f t="shared" si="16"/>
        <v>0</v>
      </c>
      <c r="AB71" s="199">
        <f t="shared" si="23"/>
        <v>0</v>
      </c>
      <c r="AC71" s="198">
        <f t="shared" si="17"/>
        <v>0</v>
      </c>
      <c r="AD71" s="199">
        <f t="shared" si="24"/>
        <v>0</v>
      </c>
      <c r="AE71" s="198">
        <f t="shared" si="18"/>
        <v>1</v>
      </c>
      <c r="AF71" s="199">
        <f t="shared" si="25"/>
        <v>16784.439999999999</v>
      </c>
      <c r="AG71" s="198">
        <f t="shared" si="19"/>
        <v>0</v>
      </c>
      <c r="AH71" s="199">
        <f t="shared" si="26"/>
        <v>0</v>
      </c>
      <c r="AI71" s="198">
        <f t="shared" si="20"/>
        <v>0</v>
      </c>
      <c r="AJ71" s="199">
        <f t="shared" si="27"/>
        <v>0</v>
      </c>
    </row>
    <row r="72" spans="1:36" ht="21.75" customHeight="1" x14ac:dyDescent="0.25">
      <c r="A72" s="185" t="s">
        <v>912</v>
      </c>
      <c r="B72" s="185" t="s">
        <v>531</v>
      </c>
      <c r="C72" s="185" t="s">
        <v>499</v>
      </c>
      <c r="D72" s="186" t="s">
        <v>651</v>
      </c>
      <c r="E72" s="185" t="s">
        <v>509</v>
      </c>
      <c r="F72" s="187">
        <v>69</v>
      </c>
      <c r="G72" s="188" t="s">
        <v>652</v>
      </c>
      <c r="H72" s="189" t="s">
        <v>653</v>
      </c>
      <c r="I72" s="212" t="s">
        <v>946</v>
      </c>
      <c r="J72" s="183" t="s">
        <v>542</v>
      </c>
      <c r="K72" s="201">
        <v>3</v>
      </c>
      <c r="L72" s="189" t="s">
        <v>534</v>
      </c>
      <c r="M72" s="183" t="s">
        <v>654</v>
      </c>
      <c r="N72" s="189" t="s">
        <v>507</v>
      </c>
      <c r="O72" s="190">
        <v>1.667</v>
      </c>
      <c r="P72" s="191">
        <v>60</v>
      </c>
      <c r="Q72" s="192">
        <v>100</v>
      </c>
      <c r="R72" s="193">
        <v>42150</v>
      </c>
      <c r="S72" s="195"/>
      <c r="T72" s="194">
        <v>1</v>
      </c>
      <c r="U72" s="193">
        <v>42150</v>
      </c>
      <c r="V72" s="196">
        <f t="shared" si="14"/>
        <v>44166</v>
      </c>
      <c r="W72" s="197">
        <f t="shared" si="21"/>
        <v>37</v>
      </c>
      <c r="X72" s="197"/>
      <c r="Y72" s="198">
        <f t="shared" si="15"/>
        <v>0</v>
      </c>
      <c r="Z72" s="199">
        <f t="shared" si="22"/>
        <v>0</v>
      </c>
      <c r="AA72" s="198">
        <f t="shared" si="16"/>
        <v>0</v>
      </c>
      <c r="AB72" s="199">
        <f t="shared" si="23"/>
        <v>0</v>
      </c>
      <c r="AC72" s="198">
        <f t="shared" si="17"/>
        <v>0</v>
      </c>
      <c r="AD72" s="199">
        <f t="shared" si="24"/>
        <v>0</v>
      </c>
      <c r="AE72" s="198">
        <f t="shared" si="18"/>
        <v>1</v>
      </c>
      <c r="AF72" s="199">
        <f t="shared" si="25"/>
        <v>42150</v>
      </c>
      <c r="AG72" s="198">
        <f t="shared" si="19"/>
        <v>0</v>
      </c>
      <c r="AH72" s="199">
        <f t="shared" si="26"/>
        <v>0</v>
      </c>
      <c r="AI72" s="198">
        <f t="shared" si="20"/>
        <v>0</v>
      </c>
      <c r="AJ72" s="199">
        <f t="shared" si="27"/>
        <v>0</v>
      </c>
    </row>
    <row r="73" spans="1:36" ht="21.75" customHeight="1" x14ac:dyDescent="0.25">
      <c r="A73" s="185" t="s">
        <v>912</v>
      </c>
      <c r="B73" s="185" t="s">
        <v>531</v>
      </c>
      <c r="C73" s="185" t="s">
        <v>499</v>
      </c>
      <c r="D73" s="186" t="s">
        <v>651</v>
      </c>
      <c r="E73" s="185" t="s">
        <v>509</v>
      </c>
      <c r="F73" s="187">
        <v>70</v>
      </c>
      <c r="G73" s="188" t="s">
        <v>652</v>
      </c>
      <c r="H73" s="189" t="s">
        <v>655</v>
      </c>
      <c r="I73" s="212" t="s">
        <v>946</v>
      </c>
      <c r="J73" s="183" t="s">
        <v>542</v>
      </c>
      <c r="K73" s="201">
        <v>3</v>
      </c>
      <c r="L73" s="189" t="s">
        <v>534</v>
      </c>
      <c r="M73" s="183" t="s">
        <v>654</v>
      </c>
      <c r="N73" s="189" t="s">
        <v>507</v>
      </c>
      <c r="O73" s="190">
        <v>1.667</v>
      </c>
      <c r="P73" s="191">
        <v>60</v>
      </c>
      <c r="Q73" s="192">
        <v>100</v>
      </c>
      <c r="R73" s="193">
        <v>42150</v>
      </c>
      <c r="S73" s="195"/>
      <c r="T73" s="194">
        <v>1</v>
      </c>
      <c r="U73" s="193">
        <v>42150</v>
      </c>
      <c r="V73" s="196">
        <f t="shared" si="14"/>
        <v>44166</v>
      </c>
      <c r="W73" s="197">
        <f t="shared" si="21"/>
        <v>37</v>
      </c>
      <c r="X73" s="197"/>
      <c r="Y73" s="198">
        <f t="shared" si="15"/>
        <v>0</v>
      </c>
      <c r="Z73" s="199">
        <f t="shared" si="22"/>
        <v>0</v>
      </c>
      <c r="AA73" s="198">
        <f t="shared" si="16"/>
        <v>0</v>
      </c>
      <c r="AB73" s="199">
        <f t="shared" si="23"/>
        <v>0</v>
      </c>
      <c r="AC73" s="198">
        <f t="shared" si="17"/>
        <v>0</v>
      </c>
      <c r="AD73" s="199">
        <f t="shared" si="24"/>
        <v>0</v>
      </c>
      <c r="AE73" s="198">
        <f t="shared" si="18"/>
        <v>1</v>
      </c>
      <c r="AF73" s="199">
        <f t="shared" si="25"/>
        <v>42150</v>
      </c>
      <c r="AG73" s="198">
        <f t="shared" si="19"/>
        <v>0</v>
      </c>
      <c r="AH73" s="199">
        <f t="shared" si="26"/>
        <v>0</v>
      </c>
      <c r="AI73" s="198">
        <f t="shared" si="20"/>
        <v>0</v>
      </c>
      <c r="AJ73" s="199">
        <f t="shared" si="27"/>
        <v>0</v>
      </c>
    </row>
    <row r="74" spans="1:36" ht="21.75" customHeight="1" x14ac:dyDescent="0.25">
      <c r="A74" s="185" t="s">
        <v>912</v>
      </c>
      <c r="B74" s="185" t="s">
        <v>531</v>
      </c>
      <c r="C74" s="185" t="s">
        <v>499</v>
      </c>
      <c r="D74" s="186" t="s">
        <v>651</v>
      </c>
      <c r="E74" s="185" t="s">
        <v>509</v>
      </c>
      <c r="F74" s="187">
        <v>71</v>
      </c>
      <c r="G74" s="188" t="s">
        <v>652</v>
      </c>
      <c r="H74" s="189" t="s">
        <v>656</v>
      </c>
      <c r="I74" s="212" t="s">
        <v>946</v>
      </c>
      <c r="J74" s="183" t="s">
        <v>542</v>
      </c>
      <c r="K74" s="201">
        <v>3</v>
      </c>
      <c r="L74" s="189" t="s">
        <v>534</v>
      </c>
      <c r="M74" s="183" t="s">
        <v>654</v>
      </c>
      <c r="N74" s="189" t="s">
        <v>507</v>
      </c>
      <c r="O74" s="190">
        <v>1.667</v>
      </c>
      <c r="P74" s="191">
        <v>60</v>
      </c>
      <c r="Q74" s="192">
        <v>100</v>
      </c>
      <c r="R74" s="193">
        <v>42150</v>
      </c>
      <c r="S74" s="195"/>
      <c r="T74" s="194">
        <v>1</v>
      </c>
      <c r="U74" s="193">
        <v>42150</v>
      </c>
      <c r="V74" s="196">
        <f t="shared" si="14"/>
        <v>44166</v>
      </c>
      <c r="W74" s="197">
        <f t="shared" si="21"/>
        <v>37</v>
      </c>
      <c r="X74" s="197"/>
      <c r="Y74" s="198">
        <f t="shared" si="15"/>
        <v>0</v>
      </c>
      <c r="Z74" s="199">
        <f t="shared" si="22"/>
        <v>0</v>
      </c>
      <c r="AA74" s="198">
        <f t="shared" si="16"/>
        <v>0</v>
      </c>
      <c r="AB74" s="199">
        <f t="shared" si="23"/>
        <v>0</v>
      </c>
      <c r="AC74" s="198">
        <f t="shared" si="17"/>
        <v>0</v>
      </c>
      <c r="AD74" s="199">
        <f t="shared" si="24"/>
        <v>0</v>
      </c>
      <c r="AE74" s="198">
        <f t="shared" si="18"/>
        <v>1</v>
      </c>
      <c r="AF74" s="199">
        <f t="shared" si="25"/>
        <v>42150</v>
      </c>
      <c r="AG74" s="198">
        <f t="shared" si="19"/>
        <v>0</v>
      </c>
      <c r="AH74" s="199">
        <f t="shared" si="26"/>
        <v>0</v>
      </c>
      <c r="AI74" s="198">
        <f t="shared" si="20"/>
        <v>0</v>
      </c>
      <c r="AJ74" s="199">
        <f t="shared" si="27"/>
        <v>0</v>
      </c>
    </row>
    <row r="75" spans="1:36" ht="21.75" customHeight="1" x14ac:dyDescent="0.25">
      <c r="A75" s="185" t="s">
        <v>912</v>
      </c>
      <c r="B75" s="185" t="s">
        <v>531</v>
      </c>
      <c r="C75" s="185" t="s">
        <v>499</v>
      </c>
      <c r="D75" s="186" t="s">
        <v>651</v>
      </c>
      <c r="E75" s="185" t="s">
        <v>509</v>
      </c>
      <c r="F75" s="187">
        <v>72</v>
      </c>
      <c r="G75" s="188" t="s">
        <v>652</v>
      </c>
      <c r="H75" s="189" t="s">
        <v>658</v>
      </c>
      <c r="I75" s="212" t="s">
        <v>946</v>
      </c>
      <c r="J75" s="183" t="s">
        <v>542</v>
      </c>
      <c r="K75" s="201">
        <v>3</v>
      </c>
      <c r="L75" s="189" t="s">
        <v>534</v>
      </c>
      <c r="M75" s="183" t="s">
        <v>654</v>
      </c>
      <c r="N75" s="189" t="s">
        <v>507</v>
      </c>
      <c r="O75" s="190">
        <v>1.667</v>
      </c>
      <c r="P75" s="191">
        <v>60</v>
      </c>
      <c r="Q75" s="192">
        <v>100</v>
      </c>
      <c r="R75" s="193">
        <v>42150</v>
      </c>
      <c r="S75" s="195"/>
      <c r="T75" s="194">
        <v>1</v>
      </c>
      <c r="U75" s="193">
        <v>42150</v>
      </c>
      <c r="V75" s="196">
        <f t="shared" si="14"/>
        <v>44166</v>
      </c>
      <c r="W75" s="197">
        <f t="shared" si="21"/>
        <v>37</v>
      </c>
      <c r="X75" s="197"/>
      <c r="Y75" s="198">
        <f t="shared" si="15"/>
        <v>0</v>
      </c>
      <c r="Z75" s="199">
        <f t="shared" si="22"/>
        <v>0</v>
      </c>
      <c r="AA75" s="198">
        <f t="shared" si="16"/>
        <v>0</v>
      </c>
      <c r="AB75" s="199">
        <f t="shared" si="23"/>
        <v>0</v>
      </c>
      <c r="AC75" s="198">
        <f t="shared" si="17"/>
        <v>0</v>
      </c>
      <c r="AD75" s="199">
        <f t="shared" si="24"/>
        <v>0</v>
      </c>
      <c r="AE75" s="198">
        <f t="shared" si="18"/>
        <v>1</v>
      </c>
      <c r="AF75" s="199">
        <f t="shared" si="25"/>
        <v>42150</v>
      </c>
      <c r="AG75" s="198">
        <f t="shared" si="19"/>
        <v>0</v>
      </c>
      <c r="AH75" s="199">
        <f t="shared" si="26"/>
        <v>0</v>
      </c>
      <c r="AI75" s="198">
        <f t="shared" si="20"/>
        <v>0</v>
      </c>
      <c r="AJ75" s="199">
        <f t="shared" si="27"/>
        <v>0</v>
      </c>
    </row>
    <row r="76" spans="1:36" ht="21.75" customHeight="1" x14ac:dyDescent="0.25">
      <c r="A76" s="185" t="s">
        <v>912</v>
      </c>
      <c r="B76" s="185" t="s">
        <v>531</v>
      </c>
      <c r="C76" s="185" t="s">
        <v>499</v>
      </c>
      <c r="D76" s="186" t="s">
        <v>651</v>
      </c>
      <c r="E76" s="185" t="s">
        <v>509</v>
      </c>
      <c r="F76" s="187">
        <v>73</v>
      </c>
      <c r="G76" s="188" t="s">
        <v>652</v>
      </c>
      <c r="H76" s="189" t="s">
        <v>657</v>
      </c>
      <c r="I76" s="212" t="s">
        <v>946</v>
      </c>
      <c r="J76" s="183" t="s">
        <v>542</v>
      </c>
      <c r="K76" s="201">
        <v>3</v>
      </c>
      <c r="L76" s="189" t="s">
        <v>534</v>
      </c>
      <c r="M76" s="183" t="s">
        <v>654</v>
      </c>
      <c r="N76" s="189" t="s">
        <v>507</v>
      </c>
      <c r="O76" s="190">
        <v>1.667</v>
      </c>
      <c r="P76" s="191">
        <v>60</v>
      </c>
      <c r="Q76" s="192">
        <v>100</v>
      </c>
      <c r="R76" s="193">
        <v>42150</v>
      </c>
      <c r="S76" s="195"/>
      <c r="T76" s="194">
        <v>1</v>
      </c>
      <c r="U76" s="193">
        <v>42150</v>
      </c>
      <c r="V76" s="196">
        <f t="shared" si="14"/>
        <v>44166</v>
      </c>
      <c r="W76" s="197">
        <f t="shared" si="21"/>
        <v>37</v>
      </c>
      <c r="X76" s="197"/>
      <c r="Y76" s="198">
        <f t="shared" si="15"/>
        <v>0</v>
      </c>
      <c r="Z76" s="199">
        <f t="shared" si="22"/>
        <v>0</v>
      </c>
      <c r="AA76" s="198">
        <f t="shared" si="16"/>
        <v>0</v>
      </c>
      <c r="AB76" s="199">
        <f t="shared" si="23"/>
        <v>0</v>
      </c>
      <c r="AC76" s="198">
        <f t="shared" si="17"/>
        <v>0</v>
      </c>
      <c r="AD76" s="199">
        <f t="shared" si="24"/>
        <v>0</v>
      </c>
      <c r="AE76" s="198">
        <f t="shared" si="18"/>
        <v>1</v>
      </c>
      <c r="AF76" s="199">
        <f t="shared" si="25"/>
        <v>42150</v>
      </c>
      <c r="AG76" s="198">
        <f t="shared" si="19"/>
        <v>0</v>
      </c>
      <c r="AH76" s="199">
        <f t="shared" si="26"/>
        <v>0</v>
      </c>
      <c r="AI76" s="198">
        <f t="shared" si="20"/>
        <v>0</v>
      </c>
      <c r="AJ76" s="199">
        <f t="shared" si="27"/>
        <v>0</v>
      </c>
    </row>
    <row r="77" spans="1:36" ht="21.75" customHeight="1" x14ac:dyDescent="0.25">
      <c r="A77" s="185" t="s">
        <v>912</v>
      </c>
      <c r="B77" s="185" t="s">
        <v>531</v>
      </c>
      <c r="C77" s="185" t="s">
        <v>499</v>
      </c>
      <c r="D77" s="186" t="s">
        <v>651</v>
      </c>
      <c r="E77" s="185" t="s">
        <v>509</v>
      </c>
      <c r="F77" s="187">
        <v>74</v>
      </c>
      <c r="G77" s="188" t="s">
        <v>662</v>
      </c>
      <c r="H77" s="189" t="s">
        <v>663</v>
      </c>
      <c r="I77" s="212" t="s">
        <v>946</v>
      </c>
      <c r="J77" s="183" t="s">
        <v>661</v>
      </c>
      <c r="K77" s="201">
        <v>2</v>
      </c>
      <c r="L77" s="189" t="s">
        <v>534</v>
      </c>
      <c r="M77" s="183" t="s">
        <v>654</v>
      </c>
      <c r="N77" s="189" t="s">
        <v>507</v>
      </c>
      <c r="O77" s="190">
        <v>2.778</v>
      </c>
      <c r="P77" s="191">
        <v>36</v>
      </c>
      <c r="Q77" s="192">
        <v>100</v>
      </c>
      <c r="R77" s="193">
        <v>27152.78</v>
      </c>
      <c r="S77" s="195"/>
      <c r="T77" s="194">
        <v>1</v>
      </c>
      <c r="U77" s="193">
        <v>27152.78</v>
      </c>
      <c r="V77" s="196">
        <f t="shared" si="14"/>
        <v>44166</v>
      </c>
      <c r="W77" s="197">
        <f t="shared" si="21"/>
        <v>37</v>
      </c>
      <c r="X77" s="197"/>
      <c r="Y77" s="198">
        <f t="shared" si="15"/>
        <v>0</v>
      </c>
      <c r="Z77" s="199">
        <f t="shared" si="22"/>
        <v>0</v>
      </c>
      <c r="AA77" s="198">
        <f t="shared" si="16"/>
        <v>0</v>
      </c>
      <c r="AB77" s="199">
        <f t="shared" si="23"/>
        <v>0</v>
      </c>
      <c r="AC77" s="198">
        <f t="shared" si="17"/>
        <v>0</v>
      </c>
      <c r="AD77" s="199">
        <f t="shared" si="24"/>
        <v>0</v>
      </c>
      <c r="AE77" s="198">
        <f t="shared" si="18"/>
        <v>1</v>
      </c>
      <c r="AF77" s="199">
        <f t="shared" si="25"/>
        <v>27152.78</v>
      </c>
      <c r="AG77" s="198">
        <f t="shared" si="19"/>
        <v>0</v>
      </c>
      <c r="AH77" s="199">
        <f t="shared" si="26"/>
        <v>0</v>
      </c>
      <c r="AI77" s="198">
        <f t="shared" si="20"/>
        <v>0</v>
      </c>
      <c r="AJ77" s="199">
        <f t="shared" si="27"/>
        <v>0</v>
      </c>
    </row>
    <row r="78" spans="1:36" ht="21.75" customHeight="1" x14ac:dyDescent="0.25">
      <c r="A78" s="185" t="s">
        <v>912</v>
      </c>
      <c r="B78" s="185" t="s">
        <v>531</v>
      </c>
      <c r="C78" s="185" t="s">
        <v>499</v>
      </c>
      <c r="D78" s="186" t="s">
        <v>651</v>
      </c>
      <c r="E78" s="185" t="s">
        <v>509</v>
      </c>
      <c r="F78" s="187">
        <v>75</v>
      </c>
      <c r="G78" s="188" t="s">
        <v>662</v>
      </c>
      <c r="H78" s="189" t="s">
        <v>664</v>
      </c>
      <c r="I78" s="212" t="s">
        <v>946</v>
      </c>
      <c r="J78" s="183" t="s">
        <v>661</v>
      </c>
      <c r="K78" s="201">
        <v>2</v>
      </c>
      <c r="L78" s="189" t="s">
        <v>534</v>
      </c>
      <c r="M78" s="183" t="s">
        <v>654</v>
      </c>
      <c r="N78" s="189" t="s">
        <v>507</v>
      </c>
      <c r="O78" s="190">
        <v>2.778</v>
      </c>
      <c r="P78" s="191">
        <v>36</v>
      </c>
      <c r="Q78" s="192">
        <v>100</v>
      </c>
      <c r="R78" s="193">
        <v>27152.78</v>
      </c>
      <c r="S78" s="195"/>
      <c r="T78" s="194">
        <v>1</v>
      </c>
      <c r="U78" s="193">
        <v>27152.78</v>
      </c>
      <c r="V78" s="196">
        <f t="shared" si="14"/>
        <v>44166</v>
      </c>
      <c r="W78" s="197">
        <f t="shared" si="21"/>
        <v>37</v>
      </c>
      <c r="X78" s="197"/>
      <c r="Y78" s="198">
        <f t="shared" si="15"/>
        <v>0</v>
      </c>
      <c r="Z78" s="199">
        <f t="shared" si="22"/>
        <v>0</v>
      </c>
      <c r="AA78" s="198">
        <f t="shared" si="16"/>
        <v>0</v>
      </c>
      <c r="AB78" s="199">
        <f t="shared" si="23"/>
        <v>0</v>
      </c>
      <c r="AC78" s="198">
        <f t="shared" si="17"/>
        <v>0</v>
      </c>
      <c r="AD78" s="199">
        <f t="shared" si="24"/>
        <v>0</v>
      </c>
      <c r="AE78" s="198">
        <f t="shared" si="18"/>
        <v>1</v>
      </c>
      <c r="AF78" s="199">
        <f t="shared" si="25"/>
        <v>27152.78</v>
      </c>
      <c r="AG78" s="198">
        <f t="shared" si="19"/>
        <v>0</v>
      </c>
      <c r="AH78" s="199">
        <f t="shared" si="26"/>
        <v>0</v>
      </c>
      <c r="AI78" s="198">
        <f t="shared" si="20"/>
        <v>0</v>
      </c>
      <c r="AJ78" s="199">
        <f t="shared" si="27"/>
        <v>0</v>
      </c>
    </row>
    <row r="79" spans="1:36" ht="21.75" customHeight="1" x14ac:dyDescent="0.25">
      <c r="A79" s="185" t="s">
        <v>912</v>
      </c>
      <c r="B79" s="185" t="s">
        <v>531</v>
      </c>
      <c r="C79" s="185" t="s">
        <v>499</v>
      </c>
      <c r="D79" s="186" t="s">
        <v>651</v>
      </c>
      <c r="E79" s="185" t="s">
        <v>509</v>
      </c>
      <c r="F79" s="187">
        <v>76</v>
      </c>
      <c r="G79" s="188" t="s">
        <v>665</v>
      </c>
      <c r="H79" s="189" t="s">
        <v>666</v>
      </c>
      <c r="I79" s="212" t="s">
        <v>946</v>
      </c>
      <c r="J79" s="183" t="s">
        <v>667</v>
      </c>
      <c r="K79" s="201">
        <v>5</v>
      </c>
      <c r="L79" s="189" t="s">
        <v>534</v>
      </c>
      <c r="M79" s="183" t="s">
        <v>668</v>
      </c>
      <c r="N79" s="189" t="s">
        <v>507</v>
      </c>
      <c r="O79" s="190">
        <v>0.83299999999999996</v>
      </c>
      <c r="P79" s="191">
        <v>120</v>
      </c>
      <c r="Q79" s="192">
        <v>100</v>
      </c>
      <c r="R79" s="193">
        <v>64550</v>
      </c>
      <c r="S79" s="195"/>
      <c r="T79" s="194">
        <v>1</v>
      </c>
      <c r="U79" s="193">
        <v>64550</v>
      </c>
      <c r="V79" s="196">
        <f t="shared" si="14"/>
        <v>44166</v>
      </c>
      <c r="W79" s="197">
        <f t="shared" si="21"/>
        <v>37</v>
      </c>
      <c r="X79" s="197"/>
      <c r="Y79" s="198">
        <f t="shared" si="15"/>
        <v>0</v>
      </c>
      <c r="Z79" s="199">
        <f t="shared" si="22"/>
        <v>0</v>
      </c>
      <c r="AA79" s="198">
        <f t="shared" si="16"/>
        <v>0</v>
      </c>
      <c r="AB79" s="199">
        <f t="shared" si="23"/>
        <v>0</v>
      </c>
      <c r="AC79" s="198">
        <f t="shared" si="17"/>
        <v>0</v>
      </c>
      <c r="AD79" s="199">
        <f t="shared" si="24"/>
        <v>0</v>
      </c>
      <c r="AE79" s="198">
        <f t="shared" si="18"/>
        <v>1</v>
      </c>
      <c r="AF79" s="199">
        <f t="shared" si="25"/>
        <v>64550</v>
      </c>
      <c r="AG79" s="198">
        <f t="shared" si="19"/>
        <v>0</v>
      </c>
      <c r="AH79" s="199">
        <f t="shared" si="26"/>
        <v>0</v>
      </c>
      <c r="AI79" s="198">
        <f t="shared" si="20"/>
        <v>0</v>
      </c>
      <c r="AJ79" s="199">
        <f t="shared" si="27"/>
        <v>0</v>
      </c>
    </row>
    <row r="80" spans="1:36" ht="21.75" customHeight="1" x14ac:dyDescent="0.25">
      <c r="A80" s="185" t="s">
        <v>912</v>
      </c>
      <c r="B80" s="185" t="s">
        <v>531</v>
      </c>
      <c r="C80" s="185" t="s">
        <v>499</v>
      </c>
      <c r="D80" s="186" t="s">
        <v>651</v>
      </c>
      <c r="E80" s="185" t="s">
        <v>669</v>
      </c>
      <c r="F80" s="187">
        <v>77</v>
      </c>
      <c r="G80" s="188" t="s">
        <v>670</v>
      </c>
      <c r="H80" s="189" t="s">
        <v>671</v>
      </c>
      <c r="I80" s="212" t="s">
        <v>946</v>
      </c>
      <c r="J80" s="183" t="s">
        <v>672</v>
      </c>
      <c r="K80" s="201">
        <v>3</v>
      </c>
      <c r="L80" s="189" t="s">
        <v>534</v>
      </c>
      <c r="M80" s="183" t="s">
        <v>673</v>
      </c>
      <c r="N80" s="189" t="s">
        <v>507</v>
      </c>
      <c r="O80" s="190">
        <v>1.667</v>
      </c>
      <c r="P80" s="191">
        <v>60</v>
      </c>
      <c r="Q80" s="192">
        <v>100</v>
      </c>
      <c r="R80" s="193">
        <v>16700</v>
      </c>
      <c r="S80" s="195"/>
      <c r="T80" s="194">
        <v>1</v>
      </c>
      <c r="U80" s="193">
        <v>16700</v>
      </c>
      <c r="V80" s="196">
        <f t="shared" si="14"/>
        <v>44166</v>
      </c>
      <c r="W80" s="197">
        <f t="shared" si="21"/>
        <v>37</v>
      </c>
      <c r="X80" s="197"/>
      <c r="Y80" s="198">
        <f t="shared" si="15"/>
        <v>0</v>
      </c>
      <c r="Z80" s="199">
        <f t="shared" si="22"/>
        <v>0</v>
      </c>
      <c r="AA80" s="198">
        <f t="shared" si="16"/>
        <v>0</v>
      </c>
      <c r="AB80" s="199">
        <f t="shared" si="23"/>
        <v>0</v>
      </c>
      <c r="AC80" s="198">
        <f t="shared" si="17"/>
        <v>0</v>
      </c>
      <c r="AD80" s="199">
        <f t="shared" si="24"/>
        <v>0</v>
      </c>
      <c r="AE80" s="198">
        <f t="shared" si="18"/>
        <v>1</v>
      </c>
      <c r="AF80" s="199">
        <f t="shared" si="25"/>
        <v>16700</v>
      </c>
      <c r="AG80" s="198">
        <f t="shared" si="19"/>
        <v>0</v>
      </c>
      <c r="AH80" s="199">
        <f t="shared" si="26"/>
        <v>0</v>
      </c>
      <c r="AI80" s="198">
        <f t="shared" si="20"/>
        <v>0</v>
      </c>
      <c r="AJ80" s="199">
        <f t="shared" si="27"/>
        <v>0</v>
      </c>
    </row>
    <row r="81" spans="1:36" ht="21.75" customHeight="1" x14ac:dyDescent="0.25">
      <c r="A81" s="185" t="s">
        <v>912</v>
      </c>
      <c r="B81" s="185" t="s">
        <v>531</v>
      </c>
      <c r="C81" s="185" t="s">
        <v>499</v>
      </c>
      <c r="D81" s="186" t="s">
        <v>651</v>
      </c>
      <c r="E81" s="185" t="s">
        <v>669</v>
      </c>
      <c r="F81" s="187">
        <v>78</v>
      </c>
      <c r="G81" s="188" t="s">
        <v>674</v>
      </c>
      <c r="H81" s="189" t="s">
        <v>675</v>
      </c>
      <c r="I81" s="212" t="s">
        <v>946</v>
      </c>
      <c r="J81" s="183" t="s">
        <v>676</v>
      </c>
      <c r="K81" s="201">
        <v>3</v>
      </c>
      <c r="L81" s="189" t="s">
        <v>534</v>
      </c>
      <c r="M81" s="183" t="s">
        <v>673</v>
      </c>
      <c r="N81" s="189" t="s">
        <v>507</v>
      </c>
      <c r="O81" s="190">
        <v>1.667</v>
      </c>
      <c r="P81" s="191">
        <v>60</v>
      </c>
      <c r="Q81" s="192">
        <v>100</v>
      </c>
      <c r="R81" s="193">
        <v>19354</v>
      </c>
      <c r="S81" s="195"/>
      <c r="T81" s="194">
        <v>1</v>
      </c>
      <c r="U81" s="193">
        <v>19354</v>
      </c>
      <c r="V81" s="196">
        <f t="shared" si="14"/>
        <v>44166</v>
      </c>
      <c r="W81" s="197">
        <f t="shared" si="21"/>
        <v>37</v>
      </c>
      <c r="X81" s="197"/>
      <c r="Y81" s="198">
        <f t="shared" si="15"/>
        <v>0</v>
      </c>
      <c r="Z81" s="199">
        <f t="shared" si="22"/>
        <v>0</v>
      </c>
      <c r="AA81" s="198">
        <f t="shared" si="16"/>
        <v>0</v>
      </c>
      <c r="AB81" s="199">
        <f t="shared" si="23"/>
        <v>0</v>
      </c>
      <c r="AC81" s="198">
        <f t="shared" si="17"/>
        <v>0</v>
      </c>
      <c r="AD81" s="199">
        <f t="shared" si="24"/>
        <v>0</v>
      </c>
      <c r="AE81" s="198">
        <f t="shared" si="18"/>
        <v>1</v>
      </c>
      <c r="AF81" s="199">
        <f t="shared" si="25"/>
        <v>19354</v>
      </c>
      <c r="AG81" s="198">
        <f t="shared" si="19"/>
        <v>0</v>
      </c>
      <c r="AH81" s="199">
        <f t="shared" si="26"/>
        <v>0</v>
      </c>
      <c r="AI81" s="198">
        <f t="shared" si="20"/>
        <v>0</v>
      </c>
      <c r="AJ81" s="199">
        <f t="shared" si="27"/>
        <v>0</v>
      </c>
    </row>
    <row r="82" spans="1:36" ht="21.75" customHeight="1" x14ac:dyDescent="0.25">
      <c r="A82" s="185" t="s">
        <v>912</v>
      </c>
      <c r="B82" s="185" t="s">
        <v>677</v>
      </c>
      <c r="C82" s="185" t="s">
        <v>520</v>
      </c>
      <c r="D82" s="186" t="s">
        <v>500</v>
      </c>
      <c r="E82" s="185" t="s">
        <v>509</v>
      </c>
      <c r="F82" s="187">
        <v>79</v>
      </c>
      <c r="G82" s="188" t="s">
        <v>678</v>
      </c>
      <c r="H82" s="189" t="s">
        <v>679</v>
      </c>
      <c r="I82" s="212" t="s">
        <v>946</v>
      </c>
      <c r="J82" s="183" t="s">
        <v>680</v>
      </c>
      <c r="K82" s="201">
        <v>3</v>
      </c>
      <c r="L82" s="189" t="s">
        <v>534</v>
      </c>
      <c r="M82" s="183" t="s">
        <v>681</v>
      </c>
      <c r="N82" s="189" t="s">
        <v>507</v>
      </c>
      <c r="O82" s="190">
        <v>1.667</v>
      </c>
      <c r="P82" s="191">
        <v>60</v>
      </c>
      <c r="Q82" s="192">
        <v>100</v>
      </c>
      <c r="R82" s="193">
        <v>17090</v>
      </c>
      <c r="S82" s="195"/>
      <c r="T82" s="194">
        <v>1</v>
      </c>
      <c r="U82" s="193">
        <v>17090</v>
      </c>
      <c r="V82" s="196">
        <f t="shared" si="14"/>
        <v>44287</v>
      </c>
      <c r="W82" s="197">
        <f t="shared" si="21"/>
        <v>33</v>
      </c>
      <c r="X82" s="197"/>
      <c r="Y82" s="198">
        <f t="shared" si="15"/>
        <v>0</v>
      </c>
      <c r="Z82" s="199">
        <f t="shared" si="22"/>
        <v>0</v>
      </c>
      <c r="AA82" s="198">
        <f t="shared" si="16"/>
        <v>0</v>
      </c>
      <c r="AB82" s="199">
        <f t="shared" si="23"/>
        <v>0</v>
      </c>
      <c r="AC82" s="198">
        <f t="shared" si="17"/>
        <v>0</v>
      </c>
      <c r="AD82" s="199">
        <f t="shared" si="24"/>
        <v>0</v>
      </c>
      <c r="AE82" s="198">
        <f t="shared" si="18"/>
        <v>0</v>
      </c>
      <c r="AF82" s="199">
        <f t="shared" si="25"/>
        <v>0</v>
      </c>
      <c r="AG82" s="198">
        <f t="shared" si="19"/>
        <v>1</v>
      </c>
      <c r="AH82" s="199">
        <f t="shared" si="26"/>
        <v>17090</v>
      </c>
      <c r="AI82" s="198">
        <f t="shared" si="20"/>
        <v>0</v>
      </c>
      <c r="AJ82" s="199">
        <f t="shared" si="27"/>
        <v>0</v>
      </c>
    </row>
    <row r="83" spans="1:36" ht="21.75" customHeight="1" x14ac:dyDescent="0.25">
      <c r="A83" s="185" t="s">
        <v>912</v>
      </c>
      <c r="B83" s="185" t="s">
        <v>677</v>
      </c>
      <c r="C83" s="185" t="s">
        <v>520</v>
      </c>
      <c r="D83" s="186" t="s">
        <v>500</v>
      </c>
      <c r="E83" s="185" t="s">
        <v>509</v>
      </c>
      <c r="F83" s="187">
        <v>80</v>
      </c>
      <c r="G83" s="188" t="s">
        <v>682</v>
      </c>
      <c r="H83" s="189" t="s">
        <v>683</v>
      </c>
      <c r="I83" s="212" t="s">
        <v>946</v>
      </c>
      <c r="J83" s="183"/>
      <c r="K83" s="183"/>
      <c r="L83" s="189" t="s">
        <v>534</v>
      </c>
      <c r="M83" s="183" t="s">
        <v>684</v>
      </c>
      <c r="N83" s="189" t="s">
        <v>507</v>
      </c>
      <c r="O83" s="202" t="s">
        <v>554</v>
      </c>
      <c r="P83" s="203"/>
      <c r="Q83" s="192">
        <v>100</v>
      </c>
      <c r="R83" s="193">
        <v>16000</v>
      </c>
      <c r="S83" s="195"/>
      <c r="T83" s="194">
        <v>1</v>
      </c>
      <c r="U83" s="193">
        <v>16000</v>
      </c>
      <c r="V83" s="196">
        <f t="shared" si="14"/>
        <v>41456</v>
      </c>
      <c r="W83" s="197">
        <f t="shared" si="21"/>
        <v>126</v>
      </c>
      <c r="X83" s="197"/>
      <c r="Y83" s="198">
        <f t="shared" si="15"/>
        <v>1</v>
      </c>
      <c r="Z83" s="199">
        <f t="shared" si="22"/>
        <v>16000</v>
      </c>
      <c r="AA83" s="198">
        <f t="shared" si="16"/>
        <v>0</v>
      </c>
      <c r="AB83" s="199">
        <f t="shared" si="23"/>
        <v>0</v>
      </c>
      <c r="AC83" s="198">
        <f t="shared" si="17"/>
        <v>0</v>
      </c>
      <c r="AD83" s="199">
        <f t="shared" si="24"/>
        <v>0</v>
      </c>
      <c r="AE83" s="198">
        <f t="shared" si="18"/>
        <v>0</v>
      </c>
      <c r="AF83" s="199">
        <f t="shared" si="25"/>
        <v>0</v>
      </c>
      <c r="AG83" s="198">
        <f t="shared" si="19"/>
        <v>0</v>
      </c>
      <c r="AH83" s="199">
        <f t="shared" si="26"/>
        <v>0</v>
      </c>
      <c r="AI83" s="198">
        <f t="shared" si="20"/>
        <v>0</v>
      </c>
      <c r="AJ83" s="199">
        <f t="shared" si="27"/>
        <v>0</v>
      </c>
    </row>
    <row r="84" spans="1:36" ht="21.75" customHeight="1" x14ac:dyDescent="0.25">
      <c r="A84" s="185" t="s">
        <v>912</v>
      </c>
      <c r="B84" s="185" t="s">
        <v>677</v>
      </c>
      <c r="C84" s="185" t="s">
        <v>520</v>
      </c>
      <c r="D84" s="186" t="s">
        <v>500</v>
      </c>
      <c r="E84" s="185" t="s">
        <v>509</v>
      </c>
      <c r="F84" s="187">
        <v>81</v>
      </c>
      <c r="G84" s="188" t="s">
        <v>685</v>
      </c>
      <c r="H84" s="189" t="s">
        <v>688</v>
      </c>
      <c r="I84" s="212" t="s">
        <v>946</v>
      </c>
      <c r="J84" s="183"/>
      <c r="K84" s="183"/>
      <c r="L84" s="189" t="s">
        <v>534</v>
      </c>
      <c r="M84" s="183" t="s">
        <v>687</v>
      </c>
      <c r="N84" s="189" t="s">
        <v>507</v>
      </c>
      <c r="O84" s="202" t="s">
        <v>554</v>
      </c>
      <c r="P84" s="203"/>
      <c r="Q84" s="192">
        <v>100</v>
      </c>
      <c r="R84" s="193">
        <v>11075</v>
      </c>
      <c r="S84" s="195"/>
      <c r="T84" s="194">
        <v>1</v>
      </c>
      <c r="U84" s="193">
        <v>11075</v>
      </c>
      <c r="V84" s="196">
        <f t="shared" si="14"/>
        <v>41548</v>
      </c>
      <c r="W84" s="197">
        <f t="shared" si="21"/>
        <v>123</v>
      </c>
      <c r="X84" s="197"/>
      <c r="Y84" s="198">
        <f t="shared" si="15"/>
        <v>1</v>
      </c>
      <c r="Z84" s="199">
        <f t="shared" si="22"/>
        <v>11075</v>
      </c>
      <c r="AA84" s="198">
        <f t="shared" si="16"/>
        <v>0</v>
      </c>
      <c r="AB84" s="199">
        <f t="shared" si="23"/>
        <v>0</v>
      </c>
      <c r="AC84" s="198">
        <f t="shared" si="17"/>
        <v>0</v>
      </c>
      <c r="AD84" s="199">
        <f t="shared" si="24"/>
        <v>0</v>
      </c>
      <c r="AE84" s="198">
        <f t="shared" si="18"/>
        <v>0</v>
      </c>
      <c r="AF84" s="199">
        <f t="shared" si="25"/>
        <v>0</v>
      </c>
      <c r="AG84" s="198">
        <f t="shared" si="19"/>
        <v>0</v>
      </c>
      <c r="AH84" s="199">
        <f t="shared" si="26"/>
        <v>0</v>
      </c>
      <c r="AI84" s="198">
        <f t="shared" si="20"/>
        <v>0</v>
      </c>
      <c r="AJ84" s="199">
        <f t="shared" si="27"/>
        <v>0</v>
      </c>
    </row>
    <row r="85" spans="1:36" ht="21.75" customHeight="1" x14ac:dyDescent="0.25">
      <c r="A85" s="185" t="s">
        <v>912</v>
      </c>
      <c r="B85" s="185" t="s">
        <v>677</v>
      </c>
      <c r="C85" s="185" t="s">
        <v>520</v>
      </c>
      <c r="D85" s="186" t="s">
        <v>500</v>
      </c>
      <c r="E85" s="185" t="s">
        <v>509</v>
      </c>
      <c r="F85" s="187">
        <v>82</v>
      </c>
      <c r="G85" s="188" t="s">
        <v>685</v>
      </c>
      <c r="H85" s="189" t="s">
        <v>686</v>
      </c>
      <c r="I85" s="212" t="s">
        <v>946</v>
      </c>
      <c r="J85" s="183"/>
      <c r="K85" s="183"/>
      <c r="L85" s="189" t="s">
        <v>534</v>
      </c>
      <c r="M85" s="183" t="s">
        <v>687</v>
      </c>
      <c r="N85" s="189" t="s">
        <v>507</v>
      </c>
      <c r="O85" s="202" t="s">
        <v>554</v>
      </c>
      <c r="P85" s="203"/>
      <c r="Q85" s="192">
        <v>100</v>
      </c>
      <c r="R85" s="193">
        <v>11075</v>
      </c>
      <c r="S85" s="195"/>
      <c r="T85" s="194">
        <v>1</v>
      </c>
      <c r="U85" s="193">
        <v>11075</v>
      </c>
      <c r="V85" s="196">
        <f t="shared" si="14"/>
        <v>41548</v>
      </c>
      <c r="W85" s="197">
        <f t="shared" si="21"/>
        <v>123</v>
      </c>
      <c r="X85" s="197"/>
      <c r="Y85" s="198">
        <f t="shared" si="15"/>
        <v>1</v>
      </c>
      <c r="Z85" s="199">
        <f t="shared" si="22"/>
        <v>11075</v>
      </c>
      <c r="AA85" s="198">
        <f t="shared" si="16"/>
        <v>0</v>
      </c>
      <c r="AB85" s="199">
        <f t="shared" si="23"/>
        <v>0</v>
      </c>
      <c r="AC85" s="198">
        <f t="shared" si="17"/>
        <v>0</v>
      </c>
      <c r="AD85" s="199">
        <f t="shared" si="24"/>
        <v>0</v>
      </c>
      <c r="AE85" s="198">
        <f t="shared" si="18"/>
        <v>0</v>
      </c>
      <c r="AF85" s="199">
        <f t="shared" si="25"/>
        <v>0</v>
      </c>
      <c r="AG85" s="198">
        <f t="shared" si="19"/>
        <v>0</v>
      </c>
      <c r="AH85" s="199">
        <f t="shared" si="26"/>
        <v>0</v>
      </c>
      <c r="AI85" s="198">
        <f t="shared" si="20"/>
        <v>0</v>
      </c>
      <c r="AJ85" s="199">
        <f t="shared" si="27"/>
        <v>0</v>
      </c>
    </row>
    <row r="86" spans="1:36" ht="21.75" customHeight="1" x14ac:dyDescent="0.25">
      <c r="A86" s="185" t="s">
        <v>912</v>
      </c>
      <c r="B86" s="185" t="s">
        <v>677</v>
      </c>
      <c r="C86" s="185" t="s">
        <v>520</v>
      </c>
      <c r="D86" s="186" t="s">
        <v>500</v>
      </c>
      <c r="E86" s="185" t="s">
        <v>509</v>
      </c>
      <c r="F86" s="187">
        <v>83</v>
      </c>
      <c r="G86" s="188" t="s">
        <v>689</v>
      </c>
      <c r="H86" s="189" t="s">
        <v>690</v>
      </c>
      <c r="I86" s="212" t="s">
        <v>946</v>
      </c>
      <c r="J86" s="183"/>
      <c r="K86" s="183"/>
      <c r="L86" s="189" t="s">
        <v>534</v>
      </c>
      <c r="M86" s="183" t="s">
        <v>691</v>
      </c>
      <c r="N86" s="189" t="s">
        <v>507</v>
      </c>
      <c r="O86" s="202" t="s">
        <v>554</v>
      </c>
      <c r="P86" s="203"/>
      <c r="Q86" s="192">
        <v>100</v>
      </c>
      <c r="R86" s="193">
        <v>4250</v>
      </c>
      <c r="S86" s="195"/>
      <c r="T86" s="194">
        <v>1</v>
      </c>
      <c r="U86" s="193">
        <v>4250</v>
      </c>
      <c r="V86" s="196">
        <f t="shared" si="14"/>
        <v>41852</v>
      </c>
      <c r="W86" s="197">
        <f t="shared" si="21"/>
        <v>113</v>
      </c>
      <c r="X86" s="197"/>
      <c r="Y86" s="198">
        <f t="shared" si="15"/>
        <v>0</v>
      </c>
      <c r="Z86" s="199">
        <f t="shared" si="22"/>
        <v>0</v>
      </c>
      <c r="AA86" s="198">
        <f t="shared" si="16"/>
        <v>1</v>
      </c>
      <c r="AB86" s="199">
        <f t="shared" si="23"/>
        <v>4250</v>
      </c>
      <c r="AC86" s="198">
        <f t="shared" si="17"/>
        <v>0</v>
      </c>
      <c r="AD86" s="199">
        <f t="shared" si="24"/>
        <v>0</v>
      </c>
      <c r="AE86" s="198">
        <f t="shared" si="18"/>
        <v>0</v>
      </c>
      <c r="AF86" s="199">
        <f t="shared" si="25"/>
        <v>0</v>
      </c>
      <c r="AG86" s="198">
        <f t="shared" si="19"/>
        <v>0</v>
      </c>
      <c r="AH86" s="199">
        <f t="shared" si="26"/>
        <v>0</v>
      </c>
      <c r="AI86" s="198">
        <f t="shared" si="20"/>
        <v>0</v>
      </c>
      <c r="AJ86" s="199">
        <f t="shared" si="27"/>
        <v>0</v>
      </c>
    </row>
    <row r="87" spans="1:36" ht="21.75" customHeight="1" x14ac:dyDescent="0.25">
      <c r="A87" s="185" t="s">
        <v>912</v>
      </c>
      <c r="B87" s="185" t="s">
        <v>677</v>
      </c>
      <c r="C87" s="185" t="s">
        <v>520</v>
      </c>
      <c r="D87" s="186" t="s">
        <v>500</v>
      </c>
      <c r="E87" s="185" t="s">
        <v>509</v>
      </c>
      <c r="F87" s="187">
        <v>84</v>
      </c>
      <c r="G87" s="188" t="s">
        <v>692</v>
      </c>
      <c r="H87" s="189" t="s">
        <v>693</v>
      </c>
      <c r="I87" s="212" t="s">
        <v>946</v>
      </c>
      <c r="J87" s="183"/>
      <c r="K87" s="183"/>
      <c r="L87" s="189" t="s">
        <v>534</v>
      </c>
      <c r="M87" s="183" t="s">
        <v>694</v>
      </c>
      <c r="N87" s="189" t="s">
        <v>507</v>
      </c>
      <c r="O87" s="202" t="s">
        <v>554</v>
      </c>
      <c r="P87" s="203"/>
      <c r="Q87" s="192">
        <v>100</v>
      </c>
      <c r="R87" s="193">
        <v>3430</v>
      </c>
      <c r="S87" s="195"/>
      <c r="T87" s="194">
        <v>1</v>
      </c>
      <c r="U87" s="193">
        <v>3430</v>
      </c>
      <c r="V87" s="196">
        <f t="shared" si="14"/>
        <v>41974</v>
      </c>
      <c r="W87" s="197">
        <f t="shared" si="21"/>
        <v>109</v>
      </c>
      <c r="X87" s="197"/>
      <c r="Y87" s="198">
        <f t="shared" si="15"/>
        <v>0</v>
      </c>
      <c r="Z87" s="199">
        <f t="shared" si="22"/>
        <v>0</v>
      </c>
      <c r="AA87" s="198">
        <f t="shared" si="16"/>
        <v>1</v>
      </c>
      <c r="AB87" s="199">
        <f t="shared" si="23"/>
        <v>3430</v>
      </c>
      <c r="AC87" s="198">
        <f t="shared" si="17"/>
        <v>0</v>
      </c>
      <c r="AD87" s="199">
        <f t="shared" si="24"/>
        <v>0</v>
      </c>
      <c r="AE87" s="198">
        <f t="shared" si="18"/>
        <v>0</v>
      </c>
      <c r="AF87" s="199">
        <f t="shared" si="25"/>
        <v>0</v>
      </c>
      <c r="AG87" s="198">
        <f t="shared" si="19"/>
        <v>0</v>
      </c>
      <c r="AH87" s="199">
        <f t="shared" si="26"/>
        <v>0</v>
      </c>
      <c r="AI87" s="198">
        <f t="shared" si="20"/>
        <v>0</v>
      </c>
      <c r="AJ87" s="199">
        <f t="shared" si="27"/>
        <v>0</v>
      </c>
    </row>
    <row r="88" spans="1:36" ht="21.75" customHeight="1" x14ac:dyDescent="0.25">
      <c r="A88" s="185" t="s">
        <v>912</v>
      </c>
      <c r="B88" s="185" t="s">
        <v>677</v>
      </c>
      <c r="C88" s="185" t="s">
        <v>520</v>
      </c>
      <c r="D88" s="186" t="s">
        <v>500</v>
      </c>
      <c r="E88" s="185" t="s">
        <v>509</v>
      </c>
      <c r="F88" s="187">
        <v>85</v>
      </c>
      <c r="G88" s="188" t="s">
        <v>695</v>
      </c>
      <c r="H88" s="189" t="s">
        <v>698</v>
      </c>
      <c r="I88" s="212" t="s">
        <v>946</v>
      </c>
      <c r="J88" s="183"/>
      <c r="K88" s="183"/>
      <c r="L88" s="189" t="s">
        <v>534</v>
      </c>
      <c r="M88" s="183" t="s">
        <v>697</v>
      </c>
      <c r="N88" s="189" t="s">
        <v>507</v>
      </c>
      <c r="O88" s="202" t="s">
        <v>554</v>
      </c>
      <c r="P88" s="203"/>
      <c r="Q88" s="192">
        <v>100</v>
      </c>
      <c r="R88" s="193">
        <v>7636</v>
      </c>
      <c r="S88" s="195"/>
      <c r="T88" s="194">
        <v>1</v>
      </c>
      <c r="U88" s="193">
        <v>7636</v>
      </c>
      <c r="V88" s="196">
        <f t="shared" si="14"/>
        <v>41974</v>
      </c>
      <c r="W88" s="197">
        <f t="shared" si="21"/>
        <v>109</v>
      </c>
      <c r="X88" s="197"/>
      <c r="Y88" s="198">
        <f t="shared" si="15"/>
        <v>0</v>
      </c>
      <c r="Z88" s="199">
        <f t="shared" si="22"/>
        <v>0</v>
      </c>
      <c r="AA88" s="198">
        <f t="shared" si="16"/>
        <v>1</v>
      </c>
      <c r="AB88" s="199">
        <f t="shared" si="23"/>
        <v>7636</v>
      </c>
      <c r="AC88" s="198">
        <f t="shared" si="17"/>
        <v>0</v>
      </c>
      <c r="AD88" s="199">
        <f t="shared" si="24"/>
        <v>0</v>
      </c>
      <c r="AE88" s="198">
        <f t="shared" si="18"/>
        <v>0</v>
      </c>
      <c r="AF88" s="199">
        <f t="shared" si="25"/>
        <v>0</v>
      </c>
      <c r="AG88" s="198">
        <f t="shared" si="19"/>
        <v>0</v>
      </c>
      <c r="AH88" s="199">
        <f t="shared" si="26"/>
        <v>0</v>
      </c>
      <c r="AI88" s="198">
        <f t="shared" si="20"/>
        <v>0</v>
      </c>
      <c r="AJ88" s="199">
        <f t="shared" si="27"/>
        <v>0</v>
      </c>
    </row>
    <row r="89" spans="1:36" ht="21.75" customHeight="1" x14ac:dyDescent="0.25">
      <c r="A89" s="185" t="s">
        <v>912</v>
      </c>
      <c r="B89" s="185" t="s">
        <v>677</v>
      </c>
      <c r="C89" s="185" t="s">
        <v>520</v>
      </c>
      <c r="D89" s="186" t="s">
        <v>500</v>
      </c>
      <c r="E89" s="185" t="s">
        <v>509</v>
      </c>
      <c r="F89" s="187">
        <v>86</v>
      </c>
      <c r="G89" s="188" t="s">
        <v>695</v>
      </c>
      <c r="H89" s="189" t="s">
        <v>696</v>
      </c>
      <c r="I89" s="212" t="s">
        <v>946</v>
      </c>
      <c r="J89" s="183"/>
      <c r="K89" s="183"/>
      <c r="L89" s="189" t="s">
        <v>534</v>
      </c>
      <c r="M89" s="183" t="s">
        <v>697</v>
      </c>
      <c r="N89" s="189" t="s">
        <v>507</v>
      </c>
      <c r="O89" s="202" t="s">
        <v>554</v>
      </c>
      <c r="P89" s="203"/>
      <c r="Q89" s="192">
        <v>100</v>
      </c>
      <c r="R89" s="193">
        <v>7636</v>
      </c>
      <c r="S89" s="195"/>
      <c r="T89" s="194">
        <v>1</v>
      </c>
      <c r="U89" s="193">
        <v>7636</v>
      </c>
      <c r="V89" s="196">
        <f t="shared" si="14"/>
        <v>41974</v>
      </c>
      <c r="W89" s="197">
        <f t="shared" si="21"/>
        <v>109</v>
      </c>
      <c r="X89" s="197"/>
      <c r="Y89" s="198">
        <f t="shared" si="15"/>
        <v>0</v>
      </c>
      <c r="Z89" s="199">
        <f t="shared" si="22"/>
        <v>0</v>
      </c>
      <c r="AA89" s="198">
        <f t="shared" si="16"/>
        <v>1</v>
      </c>
      <c r="AB89" s="199">
        <f t="shared" si="23"/>
        <v>7636</v>
      </c>
      <c r="AC89" s="198">
        <f t="shared" si="17"/>
        <v>0</v>
      </c>
      <c r="AD89" s="199">
        <f t="shared" si="24"/>
        <v>0</v>
      </c>
      <c r="AE89" s="198">
        <f t="shared" si="18"/>
        <v>0</v>
      </c>
      <c r="AF89" s="199">
        <f t="shared" si="25"/>
        <v>0</v>
      </c>
      <c r="AG89" s="198">
        <f t="shared" si="19"/>
        <v>0</v>
      </c>
      <c r="AH89" s="199">
        <f t="shared" si="26"/>
        <v>0</v>
      </c>
      <c r="AI89" s="198">
        <f t="shared" si="20"/>
        <v>0</v>
      </c>
      <c r="AJ89" s="199">
        <f t="shared" si="27"/>
        <v>0</v>
      </c>
    </row>
    <row r="90" spans="1:36" ht="21.75" customHeight="1" x14ac:dyDescent="0.25">
      <c r="A90" s="185" t="s">
        <v>912</v>
      </c>
      <c r="B90" s="185" t="s">
        <v>677</v>
      </c>
      <c r="C90" s="185" t="s">
        <v>520</v>
      </c>
      <c r="D90" s="186" t="s">
        <v>500</v>
      </c>
      <c r="E90" s="185" t="s">
        <v>509</v>
      </c>
      <c r="F90" s="187">
        <v>87</v>
      </c>
      <c r="G90" s="188" t="s">
        <v>699</v>
      </c>
      <c r="H90" s="189" t="s">
        <v>700</v>
      </c>
      <c r="I90" s="212" t="s">
        <v>946</v>
      </c>
      <c r="J90" s="183" t="s">
        <v>701</v>
      </c>
      <c r="K90" s="201">
        <v>5</v>
      </c>
      <c r="L90" s="189" t="s">
        <v>505</v>
      </c>
      <c r="M90" s="183" t="s">
        <v>702</v>
      </c>
      <c r="N90" s="189" t="s">
        <v>507</v>
      </c>
      <c r="O90" s="190">
        <v>0.83299999999999996</v>
      </c>
      <c r="P90" s="191">
        <v>120</v>
      </c>
      <c r="Q90" s="192">
        <v>65.83</v>
      </c>
      <c r="R90" s="193">
        <v>45850</v>
      </c>
      <c r="S90" s="195">
        <f>R90-U90</f>
        <v>15665.68</v>
      </c>
      <c r="T90" s="194">
        <v>1</v>
      </c>
      <c r="U90" s="193">
        <v>30184.32</v>
      </c>
      <c r="V90" s="196">
        <f t="shared" si="14"/>
        <v>42887</v>
      </c>
      <c r="W90" s="197">
        <f t="shared" si="21"/>
        <v>79</v>
      </c>
      <c r="X90" s="25">
        <f>P90-W90</f>
        <v>41</v>
      </c>
      <c r="Y90" s="198">
        <f t="shared" si="15"/>
        <v>0</v>
      </c>
      <c r="Z90" s="199">
        <f t="shared" si="22"/>
        <v>0</v>
      </c>
      <c r="AA90" s="198">
        <f t="shared" si="16"/>
        <v>0</v>
      </c>
      <c r="AB90" s="199">
        <f t="shared" si="23"/>
        <v>0</v>
      </c>
      <c r="AC90" s="198">
        <f t="shared" si="17"/>
        <v>1</v>
      </c>
      <c r="AD90" s="199">
        <f t="shared" si="24"/>
        <v>45850</v>
      </c>
      <c r="AE90" s="198">
        <f t="shared" si="18"/>
        <v>0</v>
      </c>
      <c r="AF90" s="199">
        <f t="shared" si="25"/>
        <v>0</v>
      </c>
      <c r="AG90" s="198">
        <f t="shared" si="19"/>
        <v>0</v>
      </c>
      <c r="AH90" s="199">
        <f t="shared" si="26"/>
        <v>0</v>
      </c>
      <c r="AI90" s="198">
        <f t="shared" si="20"/>
        <v>0</v>
      </c>
      <c r="AJ90" s="199">
        <f t="shared" si="27"/>
        <v>0</v>
      </c>
    </row>
    <row r="91" spans="1:36" ht="21.75" customHeight="1" x14ac:dyDescent="0.25">
      <c r="A91" s="185" t="s">
        <v>912</v>
      </c>
      <c r="B91" s="185" t="s">
        <v>677</v>
      </c>
      <c r="C91" s="185" t="s">
        <v>499</v>
      </c>
      <c r="D91" s="186" t="s">
        <v>500</v>
      </c>
      <c r="E91" s="185" t="s">
        <v>1101</v>
      </c>
      <c r="F91" s="187">
        <v>88</v>
      </c>
      <c r="G91" s="188" t="s">
        <v>703</v>
      </c>
      <c r="H91" s="189" t="s">
        <v>707</v>
      </c>
      <c r="I91" s="212" t="s">
        <v>1293</v>
      </c>
      <c r="J91" s="183"/>
      <c r="K91" s="183"/>
      <c r="L91" s="189" t="s">
        <v>534</v>
      </c>
      <c r="M91" s="183" t="s">
        <v>705</v>
      </c>
      <c r="N91" s="189" t="s">
        <v>507</v>
      </c>
      <c r="O91" s="202" t="s">
        <v>554</v>
      </c>
      <c r="P91" s="203"/>
      <c r="Q91" s="192">
        <v>100</v>
      </c>
      <c r="R91" s="193">
        <v>3128</v>
      </c>
      <c r="S91" s="195"/>
      <c r="T91" s="194">
        <v>1</v>
      </c>
      <c r="U91" s="193">
        <v>3128</v>
      </c>
      <c r="V91" s="196">
        <f t="shared" si="14"/>
        <v>41852</v>
      </c>
      <c r="W91" s="197">
        <f t="shared" si="21"/>
        <v>113</v>
      </c>
      <c r="X91" s="197"/>
      <c r="Y91" s="198">
        <f t="shared" si="15"/>
        <v>0</v>
      </c>
      <c r="Z91" s="199">
        <f t="shared" si="22"/>
        <v>0</v>
      </c>
      <c r="AA91" s="198">
        <f t="shared" si="16"/>
        <v>1</v>
      </c>
      <c r="AB91" s="199">
        <f t="shared" si="23"/>
        <v>3128</v>
      </c>
      <c r="AC91" s="198">
        <f t="shared" si="17"/>
        <v>0</v>
      </c>
      <c r="AD91" s="199">
        <f t="shared" si="24"/>
        <v>0</v>
      </c>
      <c r="AE91" s="198">
        <f t="shared" si="18"/>
        <v>0</v>
      </c>
      <c r="AF91" s="199">
        <f t="shared" si="25"/>
        <v>0</v>
      </c>
      <c r="AG91" s="198">
        <f t="shared" si="19"/>
        <v>0</v>
      </c>
      <c r="AH91" s="199">
        <f t="shared" si="26"/>
        <v>0</v>
      </c>
      <c r="AI91" s="198">
        <f t="shared" si="20"/>
        <v>0</v>
      </c>
      <c r="AJ91" s="199">
        <f t="shared" si="27"/>
        <v>0</v>
      </c>
    </row>
    <row r="92" spans="1:36" ht="21.75" customHeight="1" x14ac:dyDescent="0.25">
      <c r="A92" s="185" t="s">
        <v>912</v>
      </c>
      <c r="B92" s="185" t="s">
        <v>677</v>
      </c>
      <c r="C92" s="185" t="s">
        <v>499</v>
      </c>
      <c r="D92" s="186" t="s">
        <v>500</v>
      </c>
      <c r="E92" s="185" t="s">
        <v>1101</v>
      </c>
      <c r="F92" s="187">
        <v>89</v>
      </c>
      <c r="G92" s="188" t="s">
        <v>703</v>
      </c>
      <c r="H92" s="189" t="s">
        <v>704</v>
      </c>
      <c r="I92" s="212" t="s">
        <v>1293</v>
      </c>
      <c r="J92" s="183"/>
      <c r="K92" s="183"/>
      <c r="L92" s="189" t="s">
        <v>534</v>
      </c>
      <c r="M92" s="183" t="s">
        <v>705</v>
      </c>
      <c r="N92" s="189" t="s">
        <v>507</v>
      </c>
      <c r="O92" s="202" t="s">
        <v>554</v>
      </c>
      <c r="P92" s="203"/>
      <c r="Q92" s="192">
        <v>100</v>
      </c>
      <c r="R92" s="193">
        <v>3128</v>
      </c>
      <c r="S92" s="195"/>
      <c r="T92" s="194">
        <v>1</v>
      </c>
      <c r="U92" s="193">
        <v>3128</v>
      </c>
      <c r="V92" s="196">
        <f t="shared" si="14"/>
        <v>41852</v>
      </c>
      <c r="W92" s="197">
        <f t="shared" si="21"/>
        <v>113</v>
      </c>
      <c r="X92" s="197"/>
      <c r="Y92" s="198">
        <f t="shared" si="15"/>
        <v>0</v>
      </c>
      <c r="Z92" s="199">
        <f t="shared" si="22"/>
        <v>0</v>
      </c>
      <c r="AA92" s="198">
        <f t="shared" si="16"/>
        <v>1</v>
      </c>
      <c r="AB92" s="199">
        <f t="shared" si="23"/>
        <v>3128</v>
      </c>
      <c r="AC92" s="198">
        <f t="shared" si="17"/>
        <v>0</v>
      </c>
      <c r="AD92" s="199">
        <f t="shared" si="24"/>
        <v>0</v>
      </c>
      <c r="AE92" s="198">
        <f t="shared" si="18"/>
        <v>0</v>
      </c>
      <c r="AF92" s="199">
        <f t="shared" si="25"/>
        <v>0</v>
      </c>
      <c r="AG92" s="198">
        <f t="shared" si="19"/>
        <v>0</v>
      </c>
      <c r="AH92" s="199">
        <f t="shared" si="26"/>
        <v>0</v>
      </c>
      <c r="AI92" s="198">
        <f t="shared" si="20"/>
        <v>0</v>
      </c>
      <c r="AJ92" s="199">
        <f t="shared" si="27"/>
        <v>0</v>
      </c>
    </row>
    <row r="93" spans="1:36" ht="21.75" customHeight="1" x14ac:dyDescent="0.25">
      <c r="A93" s="185" t="s">
        <v>912</v>
      </c>
      <c r="B93" s="185" t="s">
        <v>677</v>
      </c>
      <c r="C93" s="185" t="s">
        <v>499</v>
      </c>
      <c r="D93" s="186" t="s">
        <v>500</v>
      </c>
      <c r="E93" s="185" t="s">
        <v>1101</v>
      </c>
      <c r="F93" s="187">
        <v>90</v>
      </c>
      <c r="G93" s="188" t="s">
        <v>724</v>
      </c>
      <c r="H93" s="189" t="s">
        <v>727</v>
      </c>
      <c r="I93" s="212" t="s">
        <v>1293</v>
      </c>
      <c r="J93" s="183" t="s">
        <v>726</v>
      </c>
      <c r="K93" s="201">
        <v>4</v>
      </c>
      <c r="L93" s="189" t="s">
        <v>534</v>
      </c>
      <c r="M93" s="183" t="s">
        <v>506</v>
      </c>
      <c r="N93" s="189" t="s">
        <v>507</v>
      </c>
      <c r="O93" s="190">
        <v>1.19</v>
      </c>
      <c r="P93" s="191">
        <v>84</v>
      </c>
      <c r="Q93" s="192">
        <v>100</v>
      </c>
      <c r="R93" s="193">
        <v>3043.8</v>
      </c>
      <c r="S93" s="195"/>
      <c r="T93" s="194">
        <v>1</v>
      </c>
      <c r="U93" s="193">
        <v>3043.8</v>
      </c>
      <c r="V93" s="196">
        <f t="shared" si="14"/>
        <v>40299</v>
      </c>
      <c r="W93" s="197">
        <f t="shared" si="21"/>
        <v>164</v>
      </c>
      <c r="X93" s="197"/>
      <c r="Y93" s="198">
        <f t="shared" si="15"/>
        <v>1</v>
      </c>
      <c r="Z93" s="199">
        <f t="shared" si="22"/>
        <v>3043.8</v>
      </c>
      <c r="AA93" s="198">
        <f t="shared" si="16"/>
        <v>0</v>
      </c>
      <c r="AB93" s="199">
        <f t="shared" si="23"/>
        <v>0</v>
      </c>
      <c r="AC93" s="198">
        <f t="shared" si="17"/>
        <v>0</v>
      </c>
      <c r="AD93" s="199">
        <f t="shared" si="24"/>
        <v>0</v>
      </c>
      <c r="AE93" s="198">
        <f t="shared" si="18"/>
        <v>0</v>
      </c>
      <c r="AF93" s="199">
        <f t="shared" si="25"/>
        <v>0</v>
      </c>
      <c r="AG93" s="198">
        <f t="shared" si="19"/>
        <v>0</v>
      </c>
      <c r="AH93" s="199">
        <f t="shared" si="26"/>
        <v>0</v>
      </c>
      <c r="AI93" s="198">
        <f t="shared" si="20"/>
        <v>0</v>
      </c>
      <c r="AJ93" s="199">
        <f t="shared" si="27"/>
        <v>0</v>
      </c>
    </row>
    <row r="94" spans="1:36" ht="21.75" customHeight="1" x14ac:dyDescent="0.25">
      <c r="A94" s="185" t="s">
        <v>912</v>
      </c>
      <c r="B94" s="185" t="s">
        <v>677</v>
      </c>
      <c r="C94" s="185" t="s">
        <v>499</v>
      </c>
      <c r="D94" s="186" t="s">
        <v>500</v>
      </c>
      <c r="E94" s="185" t="s">
        <v>1101</v>
      </c>
      <c r="F94" s="187">
        <v>91</v>
      </c>
      <c r="G94" s="188" t="s">
        <v>732</v>
      </c>
      <c r="H94" s="189" t="s">
        <v>733</v>
      </c>
      <c r="I94" s="212" t="s">
        <v>1293</v>
      </c>
      <c r="J94" s="183" t="s">
        <v>734</v>
      </c>
      <c r="K94" s="201">
        <v>4</v>
      </c>
      <c r="L94" s="189" t="s">
        <v>534</v>
      </c>
      <c r="M94" s="183" t="s">
        <v>506</v>
      </c>
      <c r="N94" s="189" t="s">
        <v>507</v>
      </c>
      <c r="O94" s="190">
        <v>1.19</v>
      </c>
      <c r="P94" s="191">
        <v>84</v>
      </c>
      <c r="Q94" s="192">
        <v>100</v>
      </c>
      <c r="R94" s="193">
        <v>3359.2</v>
      </c>
      <c r="S94" s="195"/>
      <c r="T94" s="194">
        <v>1</v>
      </c>
      <c r="U94" s="193">
        <v>3359.2</v>
      </c>
      <c r="V94" s="196">
        <f t="shared" si="14"/>
        <v>40299</v>
      </c>
      <c r="W94" s="197">
        <f t="shared" si="21"/>
        <v>164</v>
      </c>
      <c r="X94" s="197"/>
      <c r="Y94" s="198">
        <f t="shared" si="15"/>
        <v>1</v>
      </c>
      <c r="Z94" s="199">
        <f t="shared" si="22"/>
        <v>3359.2</v>
      </c>
      <c r="AA94" s="198">
        <f t="shared" si="16"/>
        <v>0</v>
      </c>
      <c r="AB94" s="199">
        <f t="shared" si="23"/>
        <v>0</v>
      </c>
      <c r="AC94" s="198">
        <f t="shared" si="17"/>
        <v>0</v>
      </c>
      <c r="AD94" s="199">
        <f t="shared" si="24"/>
        <v>0</v>
      </c>
      <c r="AE94" s="198">
        <f t="shared" si="18"/>
        <v>0</v>
      </c>
      <c r="AF94" s="199">
        <f t="shared" si="25"/>
        <v>0</v>
      </c>
      <c r="AG94" s="198">
        <f t="shared" si="19"/>
        <v>0</v>
      </c>
      <c r="AH94" s="199">
        <f t="shared" si="26"/>
        <v>0</v>
      </c>
      <c r="AI94" s="198">
        <f t="shared" si="20"/>
        <v>0</v>
      </c>
      <c r="AJ94" s="199">
        <f t="shared" si="27"/>
        <v>0</v>
      </c>
    </row>
    <row r="95" spans="1:36" ht="21.75" customHeight="1" x14ac:dyDescent="0.25">
      <c r="A95" s="185" t="s">
        <v>912</v>
      </c>
      <c r="B95" s="185" t="s">
        <v>677</v>
      </c>
      <c r="C95" s="185" t="s">
        <v>499</v>
      </c>
      <c r="D95" s="186" t="s">
        <v>500</v>
      </c>
      <c r="E95" s="185" t="s">
        <v>509</v>
      </c>
      <c r="F95" s="187">
        <v>92</v>
      </c>
      <c r="G95" s="188" t="s">
        <v>703</v>
      </c>
      <c r="H95" s="189" t="s">
        <v>706</v>
      </c>
      <c r="I95" s="212" t="s">
        <v>946</v>
      </c>
      <c r="J95" s="183"/>
      <c r="K95" s="183"/>
      <c r="L95" s="189" t="s">
        <v>534</v>
      </c>
      <c r="M95" s="183" t="s">
        <v>705</v>
      </c>
      <c r="N95" s="189" t="s">
        <v>507</v>
      </c>
      <c r="O95" s="202" t="s">
        <v>554</v>
      </c>
      <c r="P95" s="203"/>
      <c r="Q95" s="192">
        <v>100</v>
      </c>
      <c r="R95" s="193">
        <v>3128</v>
      </c>
      <c r="S95" s="195"/>
      <c r="T95" s="194">
        <v>1</v>
      </c>
      <c r="U95" s="193">
        <v>3128</v>
      </c>
      <c r="V95" s="196">
        <f t="shared" si="14"/>
        <v>41852</v>
      </c>
      <c r="W95" s="197">
        <f t="shared" si="21"/>
        <v>113</v>
      </c>
      <c r="X95" s="197"/>
      <c r="Y95" s="198">
        <f t="shared" si="15"/>
        <v>0</v>
      </c>
      <c r="Z95" s="199">
        <f t="shared" si="22"/>
        <v>0</v>
      </c>
      <c r="AA95" s="198">
        <f t="shared" si="16"/>
        <v>1</v>
      </c>
      <c r="AB95" s="199">
        <f t="shared" si="23"/>
        <v>3128</v>
      </c>
      <c r="AC95" s="198">
        <f t="shared" si="17"/>
        <v>0</v>
      </c>
      <c r="AD95" s="199">
        <f t="shared" si="24"/>
        <v>0</v>
      </c>
      <c r="AE95" s="198">
        <f t="shared" si="18"/>
        <v>0</v>
      </c>
      <c r="AF95" s="199">
        <f t="shared" si="25"/>
        <v>0</v>
      </c>
      <c r="AG95" s="198">
        <f t="shared" si="19"/>
        <v>0</v>
      </c>
      <c r="AH95" s="199">
        <f t="shared" si="26"/>
        <v>0</v>
      </c>
      <c r="AI95" s="198">
        <f t="shared" si="20"/>
        <v>0</v>
      </c>
      <c r="AJ95" s="199">
        <f t="shared" si="27"/>
        <v>0</v>
      </c>
    </row>
    <row r="96" spans="1:36" ht="21.75" customHeight="1" x14ac:dyDescent="0.25">
      <c r="A96" s="185" t="s">
        <v>912</v>
      </c>
      <c r="B96" s="185" t="s">
        <v>677</v>
      </c>
      <c r="C96" s="185" t="s">
        <v>499</v>
      </c>
      <c r="D96" s="186" t="s">
        <v>500</v>
      </c>
      <c r="E96" s="185" t="s">
        <v>509</v>
      </c>
      <c r="F96" s="187">
        <v>93</v>
      </c>
      <c r="G96" s="188" t="s">
        <v>708</v>
      </c>
      <c r="H96" s="189" t="s">
        <v>714</v>
      </c>
      <c r="I96" s="212" t="s">
        <v>946</v>
      </c>
      <c r="J96" s="183"/>
      <c r="K96" s="183"/>
      <c r="L96" s="189" t="s">
        <v>534</v>
      </c>
      <c r="M96" s="183" t="s">
        <v>710</v>
      </c>
      <c r="N96" s="189" t="s">
        <v>507</v>
      </c>
      <c r="O96" s="202" t="s">
        <v>554</v>
      </c>
      <c r="P96" s="203"/>
      <c r="Q96" s="192">
        <v>100</v>
      </c>
      <c r="R96" s="193">
        <v>6920</v>
      </c>
      <c r="S96" s="195"/>
      <c r="T96" s="194">
        <v>1</v>
      </c>
      <c r="U96" s="193">
        <v>6920</v>
      </c>
      <c r="V96" s="196">
        <f t="shared" si="14"/>
        <v>41883</v>
      </c>
      <c r="W96" s="197">
        <f t="shared" si="21"/>
        <v>112</v>
      </c>
      <c r="X96" s="197"/>
      <c r="Y96" s="198">
        <f t="shared" si="15"/>
        <v>0</v>
      </c>
      <c r="Z96" s="199">
        <f t="shared" si="22"/>
        <v>0</v>
      </c>
      <c r="AA96" s="198">
        <f t="shared" si="16"/>
        <v>1</v>
      </c>
      <c r="AB96" s="199">
        <f t="shared" si="23"/>
        <v>6920</v>
      </c>
      <c r="AC96" s="198">
        <f t="shared" si="17"/>
        <v>0</v>
      </c>
      <c r="AD96" s="199">
        <f t="shared" si="24"/>
        <v>0</v>
      </c>
      <c r="AE96" s="198">
        <f t="shared" si="18"/>
        <v>0</v>
      </c>
      <c r="AF96" s="199">
        <f t="shared" si="25"/>
        <v>0</v>
      </c>
      <c r="AG96" s="198">
        <f t="shared" si="19"/>
        <v>0</v>
      </c>
      <c r="AH96" s="199">
        <f t="shared" si="26"/>
        <v>0</v>
      </c>
      <c r="AI96" s="198">
        <f t="shared" si="20"/>
        <v>0</v>
      </c>
      <c r="AJ96" s="199">
        <f t="shared" si="27"/>
        <v>0</v>
      </c>
    </row>
    <row r="97" spans="1:36" ht="21.75" customHeight="1" x14ac:dyDescent="0.25">
      <c r="A97" s="185" t="s">
        <v>912</v>
      </c>
      <c r="B97" s="185" t="s">
        <v>677</v>
      </c>
      <c r="C97" s="185" t="s">
        <v>499</v>
      </c>
      <c r="D97" s="186" t="s">
        <v>500</v>
      </c>
      <c r="E97" s="185" t="s">
        <v>509</v>
      </c>
      <c r="F97" s="187">
        <v>94</v>
      </c>
      <c r="G97" s="188" t="s">
        <v>708</v>
      </c>
      <c r="H97" s="189" t="s">
        <v>716</v>
      </c>
      <c r="I97" s="212" t="s">
        <v>946</v>
      </c>
      <c r="J97" s="183"/>
      <c r="K97" s="183"/>
      <c r="L97" s="189" t="s">
        <v>534</v>
      </c>
      <c r="M97" s="183" t="s">
        <v>710</v>
      </c>
      <c r="N97" s="189" t="s">
        <v>507</v>
      </c>
      <c r="O97" s="202" t="s">
        <v>554</v>
      </c>
      <c r="P97" s="203"/>
      <c r="Q97" s="192">
        <v>100</v>
      </c>
      <c r="R97" s="193">
        <v>6920</v>
      </c>
      <c r="S97" s="195"/>
      <c r="T97" s="194">
        <v>1</v>
      </c>
      <c r="U97" s="193">
        <v>6920</v>
      </c>
      <c r="V97" s="196">
        <f t="shared" si="14"/>
        <v>41883</v>
      </c>
      <c r="W97" s="197">
        <f t="shared" si="21"/>
        <v>112</v>
      </c>
      <c r="X97" s="197"/>
      <c r="Y97" s="198">
        <f t="shared" si="15"/>
        <v>0</v>
      </c>
      <c r="Z97" s="199">
        <f t="shared" si="22"/>
        <v>0</v>
      </c>
      <c r="AA97" s="198">
        <f t="shared" si="16"/>
        <v>1</v>
      </c>
      <c r="AB97" s="199">
        <f t="shared" si="23"/>
        <v>6920</v>
      </c>
      <c r="AC97" s="198">
        <f t="shared" si="17"/>
        <v>0</v>
      </c>
      <c r="AD97" s="199">
        <f t="shared" si="24"/>
        <v>0</v>
      </c>
      <c r="AE97" s="198">
        <f t="shared" si="18"/>
        <v>0</v>
      </c>
      <c r="AF97" s="199">
        <f t="shared" si="25"/>
        <v>0</v>
      </c>
      <c r="AG97" s="198">
        <f t="shared" si="19"/>
        <v>0</v>
      </c>
      <c r="AH97" s="199">
        <f t="shared" si="26"/>
        <v>0</v>
      </c>
      <c r="AI97" s="198">
        <f t="shared" si="20"/>
        <v>0</v>
      </c>
      <c r="AJ97" s="199">
        <f t="shared" si="27"/>
        <v>0</v>
      </c>
    </row>
    <row r="98" spans="1:36" ht="21.75" customHeight="1" x14ac:dyDescent="0.25">
      <c r="A98" s="185" t="s">
        <v>912</v>
      </c>
      <c r="B98" s="185" t="s">
        <v>677</v>
      </c>
      <c r="C98" s="185" t="s">
        <v>499</v>
      </c>
      <c r="D98" s="186" t="s">
        <v>500</v>
      </c>
      <c r="E98" s="185" t="s">
        <v>509</v>
      </c>
      <c r="F98" s="187">
        <v>95</v>
      </c>
      <c r="G98" s="188" t="s">
        <v>708</v>
      </c>
      <c r="H98" s="189" t="s">
        <v>713</v>
      </c>
      <c r="I98" s="212" t="s">
        <v>946</v>
      </c>
      <c r="J98" s="183"/>
      <c r="K98" s="183"/>
      <c r="L98" s="189" t="s">
        <v>534</v>
      </c>
      <c r="M98" s="183" t="s">
        <v>710</v>
      </c>
      <c r="N98" s="189" t="s">
        <v>507</v>
      </c>
      <c r="O98" s="202" t="s">
        <v>554</v>
      </c>
      <c r="P98" s="203"/>
      <c r="Q98" s="192">
        <v>100</v>
      </c>
      <c r="R98" s="193">
        <v>6920</v>
      </c>
      <c r="S98" s="195"/>
      <c r="T98" s="194">
        <v>1</v>
      </c>
      <c r="U98" s="193">
        <v>6920</v>
      </c>
      <c r="V98" s="196">
        <f t="shared" si="14"/>
        <v>41883</v>
      </c>
      <c r="W98" s="197">
        <f t="shared" si="21"/>
        <v>112</v>
      </c>
      <c r="X98" s="197"/>
      <c r="Y98" s="198">
        <f t="shared" si="15"/>
        <v>0</v>
      </c>
      <c r="Z98" s="199">
        <f t="shared" si="22"/>
        <v>0</v>
      </c>
      <c r="AA98" s="198">
        <f t="shared" si="16"/>
        <v>1</v>
      </c>
      <c r="AB98" s="199">
        <f t="shared" si="23"/>
        <v>6920</v>
      </c>
      <c r="AC98" s="198">
        <f t="shared" si="17"/>
        <v>0</v>
      </c>
      <c r="AD98" s="199">
        <f t="shared" si="24"/>
        <v>0</v>
      </c>
      <c r="AE98" s="198">
        <f t="shared" si="18"/>
        <v>0</v>
      </c>
      <c r="AF98" s="199">
        <f t="shared" si="25"/>
        <v>0</v>
      </c>
      <c r="AG98" s="198">
        <f t="shared" si="19"/>
        <v>0</v>
      </c>
      <c r="AH98" s="199">
        <f t="shared" si="26"/>
        <v>0</v>
      </c>
      <c r="AI98" s="198">
        <f t="shared" si="20"/>
        <v>0</v>
      </c>
      <c r="AJ98" s="199">
        <f t="shared" si="27"/>
        <v>0</v>
      </c>
    </row>
    <row r="99" spans="1:36" ht="21.75" customHeight="1" x14ac:dyDescent="0.25">
      <c r="A99" s="185" t="s">
        <v>912</v>
      </c>
      <c r="B99" s="185" t="s">
        <v>677</v>
      </c>
      <c r="C99" s="185" t="s">
        <v>499</v>
      </c>
      <c r="D99" s="186" t="s">
        <v>500</v>
      </c>
      <c r="E99" s="185" t="s">
        <v>509</v>
      </c>
      <c r="F99" s="187">
        <v>96</v>
      </c>
      <c r="G99" s="188" t="s">
        <v>708</v>
      </c>
      <c r="H99" s="189" t="s">
        <v>712</v>
      </c>
      <c r="I99" s="212" t="s">
        <v>946</v>
      </c>
      <c r="J99" s="183"/>
      <c r="K99" s="183"/>
      <c r="L99" s="189" t="s">
        <v>534</v>
      </c>
      <c r="M99" s="183" t="s">
        <v>710</v>
      </c>
      <c r="N99" s="189" t="s">
        <v>507</v>
      </c>
      <c r="O99" s="202" t="s">
        <v>554</v>
      </c>
      <c r="P99" s="203"/>
      <c r="Q99" s="192">
        <v>100</v>
      </c>
      <c r="R99" s="193">
        <v>6920</v>
      </c>
      <c r="S99" s="195"/>
      <c r="T99" s="194">
        <v>1</v>
      </c>
      <c r="U99" s="193">
        <v>6920</v>
      </c>
      <c r="V99" s="196">
        <f t="shared" si="14"/>
        <v>41883</v>
      </c>
      <c r="W99" s="197">
        <f t="shared" si="21"/>
        <v>112</v>
      </c>
      <c r="X99" s="197"/>
      <c r="Y99" s="198">
        <f t="shared" si="15"/>
        <v>0</v>
      </c>
      <c r="Z99" s="199">
        <f t="shared" si="22"/>
        <v>0</v>
      </c>
      <c r="AA99" s="198">
        <f t="shared" si="16"/>
        <v>1</v>
      </c>
      <c r="AB99" s="199">
        <f t="shared" si="23"/>
        <v>6920</v>
      </c>
      <c r="AC99" s="198">
        <f t="shared" si="17"/>
        <v>0</v>
      </c>
      <c r="AD99" s="199">
        <f t="shared" si="24"/>
        <v>0</v>
      </c>
      <c r="AE99" s="198">
        <f t="shared" si="18"/>
        <v>0</v>
      </c>
      <c r="AF99" s="199">
        <f t="shared" si="25"/>
        <v>0</v>
      </c>
      <c r="AG99" s="198">
        <f t="shared" si="19"/>
        <v>0</v>
      </c>
      <c r="AH99" s="199">
        <f t="shared" si="26"/>
        <v>0</v>
      </c>
      <c r="AI99" s="198">
        <f t="shared" si="20"/>
        <v>0</v>
      </c>
      <c r="AJ99" s="199">
        <f t="shared" si="27"/>
        <v>0</v>
      </c>
    </row>
    <row r="100" spans="1:36" ht="21.75" customHeight="1" x14ac:dyDescent="0.25">
      <c r="A100" s="185" t="s">
        <v>912</v>
      </c>
      <c r="B100" s="185" t="s">
        <v>677</v>
      </c>
      <c r="C100" s="185" t="s">
        <v>499</v>
      </c>
      <c r="D100" s="186" t="s">
        <v>500</v>
      </c>
      <c r="E100" s="185" t="s">
        <v>509</v>
      </c>
      <c r="F100" s="187">
        <v>97</v>
      </c>
      <c r="G100" s="188" t="s">
        <v>708</v>
      </c>
      <c r="H100" s="189" t="s">
        <v>711</v>
      </c>
      <c r="I100" s="212" t="s">
        <v>946</v>
      </c>
      <c r="J100" s="183"/>
      <c r="K100" s="183"/>
      <c r="L100" s="189" t="s">
        <v>534</v>
      </c>
      <c r="M100" s="183" t="s">
        <v>710</v>
      </c>
      <c r="N100" s="189" t="s">
        <v>507</v>
      </c>
      <c r="O100" s="202" t="s">
        <v>554</v>
      </c>
      <c r="P100" s="203"/>
      <c r="Q100" s="192">
        <v>100</v>
      </c>
      <c r="R100" s="193">
        <v>6920</v>
      </c>
      <c r="S100" s="195"/>
      <c r="T100" s="194">
        <v>1</v>
      </c>
      <c r="U100" s="193">
        <v>6920</v>
      </c>
      <c r="V100" s="196">
        <f t="shared" si="14"/>
        <v>41883</v>
      </c>
      <c r="W100" s="197">
        <f t="shared" si="21"/>
        <v>112</v>
      </c>
      <c r="X100" s="197"/>
      <c r="Y100" s="198">
        <f t="shared" si="15"/>
        <v>0</v>
      </c>
      <c r="Z100" s="199">
        <f t="shared" si="22"/>
        <v>0</v>
      </c>
      <c r="AA100" s="198">
        <f t="shared" si="16"/>
        <v>1</v>
      </c>
      <c r="AB100" s="199">
        <f t="shared" si="23"/>
        <v>6920</v>
      </c>
      <c r="AC100" s="198">
        <f t="shared" si="17"/>
        <v>0</v>
      </c>
      <c r="AD100" s="199">
        <f t="shared" si="24"/>
        <v>0</v>
      </c>
      <c r="AE100" s="198">
        <f t="shared" si="18"/>
        <v>0</v>
      </c>
      <c r="AF100" s="199">
        <f t="shared" si="25"/>
        <v>0</v>
      </c>
      <c r="AG100" s="198">
        <f t="shared" si="19"/>
        <v>0</v>
      </c>
      <c r="AH100" s="199">
        <f t="shared" si="26"/>
        <v>0</v>
      </c>
      <c r="AI100" s="198">
        <f t="shared" si="20"/>
        <v>0</v>
      </c>
      <c r="AJ100" s="199">
        <f t="shared" si="27"/>
        <v>0</v>
      </c>
    </row>
    <row r="101" spans="1:36" ht="21.75" customHeight="1" x14ac:dyDescent="0.25">
      <c r="A101" s="185" t="s">
        <v>912</v>
      </c>
      <c r="B101" s="185" t="s">
        <v>677</v>
      </c>
      <c r="C101" s="185" t="s">
        <v>499</v>
      </c>
      <c r="D101" s="186" t="s">
        <v>500</v>
      </c>
      <c r="E101" s="185" t="s">
        <v>509</v>
      </c>
      <c r="F101" s="187">
        <v>98</v>
      </c>
      <c r="G101" s="188" t="s">
        <v>708</v>
      </c>
      <c r="H101" s="189" t="s">
        <v>709</v>
      </c>
      <c r="I101" s="212" t="s">
        <v>946</v>
      </c>
      <c r="J101" s="183"/>
      <c r="K101" s="183"/>
      <c r="L101" s="189" t="s">
        <v>534</v>
      </c>
      <c r="M101" s="183" t="s">
        <v>710</v>
      </c>
      <c r="N101" s="189" t="s">
        <v>507</v>
      </c>
      <c r="O101" s="202" t="s">
        <v>554</v>
      </c>
      <c r="P101" s="203"/>
      <c r="Q101" s="192">
        <v>100</v>
      </c>
      <c r="R101" s="193">
        <v>6920</v>
      </c>
      <c r="S101" s="195"/>
      <c r="T101" s="194">
        <v>1</v>
      </c>
      <c r="U101" s="193">
        <v>6920</v>
      </c>
      <c r="V101" s="196">
        <f t="shared" si="14"/>
        <v>41883</v>
      </c>
      <c r="W101" s="197">
        <f t="shared" si="21"/>
        <v>112</v>
      </c>
      <c r="X101" s="197"/>
      <c r="Y101" s="198">
        <f t="shared" si="15"/>
        <v>0</v>
      </c>
      <c r="Z101" s="199">
        <f t="shared" si="22"/>
        <v>0</v>
      </c>
      <c r="AA101" s="198">
        <f t="shared" si="16"/>
        <v>1</v>
      </c>
      <c r="AB101" s="199">
        <f t="shared" si="23"/>
        <v>6920</v>
      </c>
      <c r="AC101" s="198">
        <f t="shared" si="17"/>
        <v>0</v>
      </c>
      <c r="AD101" s="199">
        <f t="shared" si="24"/>
        <v>0</v>
      </c>
      <c r="AE101" s="198">
        <f t="shared" si="18"/>
        <v>0</v>
      </c>
      <c r="AF101" s="199">
        <f t="shared" si="25"/>
        <v>0</v>
      </c>
      <c r="AG101" s="198">
        <f t="shared" si="19"/>
        <v>0</v>
      </c>
      <c r="AH101" s="199">
        <f t="shared" si="26"/>
        <v>0</v>
      </c>
      <c r="AI101" s="198">
        <f t="shared" si="20"/>
        <v>0</v>
      </c>
      <c r="AJ101" s="199">
        <f t="shared" si="27"/>
        <v>0</v>
      </c>
    </row>
    <row r="102" spans="1:36" ht="21.75" customHeight="1" x14ac:dyDescent="0.25">
      <c r="A102" s="185" t="s">
        <v>912</v>
      </c>
      <c r="B102" s="185" t="s">
        <v>677</v>
      </c>
      <c r="C102" s="185" t="s">
        <v>499</v>
      </c>
      <c r="D102" s="186" t="s">
        <v>500</v>
      </c>
      <c r="E102" s="185" t="s">
        <v>509</v>
      </c>
      <c r="F102" s="187">
        <v>99</v>
      </c>
      <c r="G102" s="188" t="s">
        <v>708</v>
      </c>
      <c r="H102" s="189" t="s">
        <v>717</v>
      </c>
      <c r="I102" s="212" t="s">
        <v>946</v>
      </c>
      <c r="J102" s="183"/>
      <c r="K102" s="183"/>
      <c r="L102" s="189" t="s">
        <v>534</v>
      </c>
      <c r="M102" s="183" t="s">
        <v>710</v>
      </c>
      <c r="N102" s="189" t="s">
        <v>507</v>
      </c>
      <c r="O102" s="202" t="s">
        <v>554</v>
      </c>
      <c r="P102" s="203"/>
      <c r="Q102" s="192">
        <v>100</v>
      </c>
      <c r="R102" s="193">
        <v>6920</v>
      </c>
      <c r="S102" s="195"/>
      <c r="T102" s="194">
        <v>1</v>
      </c>
      <c r="U102" s="193">
        <v>6920</v>
      </c>
      <c r="V102" s="196">
        <f t="shared" si="14"/>
        <v>41883</v>
      </c>
      <c r="W102" s="197">
        <f t="shared" si="21"/>
        <v>112</v>
      </c>
      <c r="X102" s="197"/>
      <c r="Y102" s="198">
        <f t="shared" si="15"/>
        <v>0</v>
      </c>
      <c r="Z102" s="199">
        <f t="shared" si="22"/>
        <v>0</v>
      </c>
      <c r="AA102" s="198">
        <f t="shared" si="16"/>
        <v>1</v>
      </c>
      <c r="AB102" s="199">
        <f t="shared" si="23"/>
        <v>6920</v>
      </c>
      <c r="AC102" s="198">
        <f t="shared" si="17"/>
        <v>0</v>
      </c>
      <c r="AD102" s="199">
        <f t="shared" si="24"/>
        <v>0</v>
      </c>
      <c r="AE102" s="198">
        <f t="shared" si="18"/>
        <v>0</v>
      </c>
      <c r="AF102" s="199">
        <f t="shared" si="25"/>
        <v>0</v>
      </c>
      <c r="AG102" s="198">
        <f t="shared" si="19"/>
        <v>0</v>
      </c>
      <c r="AH102" s="199">
        <f t="shared" si="26"/>
        <v>0</v>
      </c>
      <c r="AI102" s="198">
        <f t="shared" si="20"/>
        <v>0</v>
      </c>
      <c r="AJ102" s="199">
        <f t="shared" si="27"/>
        <v>0</v>
      </c>
    </row>
    <row r="103" spans="1:36" ht="21.75" customHeight="1" x14ac:dyDescent="0.25">
      <c r="A103" s="185" t="s">
        <v>912</v>
      </c>
      <c r="B103" s="185" t="s">
        <v>677</v>
      </c>
      <c r="C103" s="185" t="s">
        <v>499</v>
      </c>
      <c r="D103" s="186" t="s">
        <v>500</v>
      </c>
      <c r="E103" s="185" t="s">
        <v>509</v>
      </c>
      <c r="F103" s="187">
        <v>100</v>
      </c>
      <c r="G103" s="188" t="s">
        <v>708</v>
      </c>
      <c r="H103" s="189" t="s">
        <v>715</v>
      </c>
      <c r="I103" s="212" t="s">
        <v>946</v>
      </c>
      <c r="J103" s="183"/>
      <c r="K103" s="183"/>
      <c r="L103" s="189" t="s">
        <v>534</v>
      </c>
      <c r="M103" s="183" t="s">
        <v>710</v>
      </c>
      <c r="N103" s="189" t="s">
        <v>507</v>
      </c>
      <c r="O103" s="202" t="s">
        <v>554</v>
      </c>
      <c r="P103" s="203"/>
      <c r="Q103" s="192">
        <v>100</v>
      </c>
      <c r="R103" s="193">
        <v>6920</v>
      </c>
      <c r="S103" s="195"/>
      <c r="T103" s="194">
        <v>1</v>
      </c>
      <c r="U103" s="193">
        <v>6920</v>
      </c>
      <c r="V103" s="196">
        <f t="shared" si="14"/>
        <v>41883</v>
      </c>
      <c r="W103" s="197">
        <f t="shared" si="21"/>
        <v>112</v>
      </c>
      <c r="X103" s="197"/>
      <c r="Y103" s="198">
        <f t="shared" si="15"/>
        <v>0</v>
      </c>
      <c r="Z103" s="199">
        <f t="shared" si="22"/>
        <v>0</v>
      </c>
      <c r="AA103" s="198">
        <f t="shared" si="16"/>
        <v>1</v>
      </c>
      <c r="AB103" s="199">
        <f t="shared" si="23"/>
        <v>6920</v>
      </c>
      <c r="AC103" s="198">
        <f t="shared" si="17"/>
        <v>0</v>
      </c>
      <c r="AD103" s="199">
        <f t="shared" si="24"/>
        <v>0</v>
      </c>
      <c r="AE103" s="198">
        <f t="shared" si="18"/>
        <v>0</v>
      </c>
      <c r="AF103" s="199">
        <f t="shared" si="25"/>
        <v>0</v>
      </c>
      <c r="AG103" s="198">
        <f t="shared" si="19"/>
        <v>0</v>
      </c>
      <c r="AH103" s="199">
        <f t="shared" si="26"/>
        <v>0</v>
      </c>
      <c r="AI103" s="198">
        <f t="shared" si="20"/>
        <v>0</v>
      </c>
      <c r="AJ103" s="199">
        <f t="shared" si="27"/>
        <v>0</v>
      </c>
    </row>
    <row r="104" spans="1:36" ht="21.75" customHeight="1" x14ac:dyDescent="0.25">
      <c r="A104" s="185" t="s">
        <v>912</v>
      </c>
      <c r="B104" s="185" t="s">
        <v>677</v>
      </c>
      <c r="C104" s="185" t="s">
        <v>499</v>
      </c>
      <c r="D104" s="186" t="s">
        <v>500</v>
      </c>
      <c r="E104" s="185" t="s">
        <v>509</v>
      </c>
      <c r="F104" s="187">
        <v>101</v>
      </c>
      <c r="G104" s="188" t="s">
        <v>708</v>
      </c>
      <c r="H104" s="189" t="s">
        <v>719</v>
      </c>
      <c r="I104" s="212" t="s">
        <v>946</v>
      </c>
      <c r="J104" s="183"/>
      <c r="K104" s="183"/>
      <c r="L104" s="189" t="s">
        <v>534</v>
      </c>
      <c r="M104" s="183" t="s">
        <v>710</v>
      </c>
      <c r="N104" s="189" t="s">
        <v>507</v>
      </c>
      <c r="O104" s="202" t="s">
        <v>554</v>
      </c>
      <c r="P104" s="203"/>
      <c r="Q104" s="192">
        <v>100</v>
      </c>
      <c r="R104" s="193">
        <v>6920</v>
      </c>
      <c r="S104" s="195"/>
      <c r="T104" s="194">
        <v>1</v>
      </c>
      <c r="U104" s="193">
        <v>6920</v>
      </c>
      <c r="V104" s="196">
        <f t="shared" si="14"/>
        <v>41883</v>
      </c>
      <c r="W104" s="197">
        <f t="shared" si="21"/>
        <v>112</v>
      </c>
      <c r="X104" s="197"/>
      <c r="Y104" s="198">
        <f t="shared" si="15"/>
        <v>0</v>
      </c>
      <c r="Z104" s="199">
        <f t="shared" si="22"/>
        <v>0</v>
      </c>
      <c r="AA104" s="198">
        <f t="shared" si="16"/>
        <v>1</v>
      </c>
      <c r="AB104" s="199">
        <f t="shared" si="23"/>
        <v>6920</v>
      </c>
      <c r="AC104" s="198">
        <f t="shared" si="17"/>
        <v>0</v>
      </c>
      <c r="AD104" s="199">
        <f t="shared" si="24"/>
        <v>0</v>
      </c>
      <c r="AE104" s="198">
        <f t="shared" si="18"/>
        <v>0</v>
      </c>
      <c r="AF104" s="199">
        <f t="shared" si="25"/>
        <v>0</v>
      </c>
      <c r="AG104" s="198">
        <f t="shared" si="19"/>
        <v>0</v>
      </c>
      <c r="AH104" s="199">
        <f t="shared" si="26"/>
        <v>0</v>
      </c>
      <c r="AI104" s="198">
        <f t="shared" si="20"/>
        <v>0</v>
      </c>
      <c r="AJ104" s="199">
        <f t="shared" si="27"/>
        <v>0</v>
      </c>
    </row>
    <row r="105" spans="1:36" ht="21.75" customHeight="1" x14ac:dyDescent="0.25">
      <c r="A105" s="185" t="s">
        <v>912</v>
      </c>
      <c r="B105" s="185" t="s">
        <v>677</v>
      </c>
      <c r="C105" s="185" t="s">
        <v>499</v>
      </c>
      <c r="D105" s="186" t="s">
        <v>500</v>
      </c>
      <c r="E105" s="185" t="s">
        <v>509</v>
      </c>
      <c r="F105" s="187">
        <v>102</v>
      </c>
      <c r="G105" s="188" t="s">
        <v>708</v>
      </c>
      <c r="H105" s="189" t="s">
        <v>718</v>
      </c>
      <c r="I105" s="212" t="s">
        <v>946</v>
      </c>
      <c r="J105" s="183"/>
      <c r="K105" s="183"/>
      <c r="L105" s="189" t="s">
        <v>534</v>
      </c>
      <c r="M105" s="183" t="s">
        <v>710</v>
      </c>
      <c r="N105" s="189" t="s">
        <v>507</v>
      </c>
      <c r="O105" s="202" t="s">
        <v>554</v>
      </c>
      <c r="P105" s="203"/>
      <c r="Q105" s="192">
        <v>100</v>
      </c>
      <c r="R105" s="193">
        <v>6920</v>
      </c>
      <c r="S105" s="195"/>
      <c r="T105" s="194">
        <v>1</v>
      </c>
      <c r="U105" s="193">
        <v>6920</v>
      </c>
      <c r="V105" s="196">
        <f t="shared" si="14"/>
        <v>41883</v>
      </c>
      <c r="W105" s="197">
        <f t="shared" si="21"/>
        <v>112</v>
      </c>
      <c r="X105" s="197"/>
      <c r="Y105" s="198">
        <f t="shared" si="15"/>
        <v>0</v>
      </c>
      <c r="Z105" s="199">
        <f t="shared" si="22"/>
        <v>0</v>
      </c>
      <c r="AA105" s="198">
        <f t="shared" si="16"/>
        <v>1</v>
      </c>
      <c r="AB105" s="199">
        <f t="shared" si="23"/>
        <v>6920</v>
      </c>
      <c r="AC105" s="198">
        <f t="shared" si="17"/>
        <v>0</v>
      </c>
      <c r="AD105" s="199">
        <f t="shared" si="24"/>
        <v>0</v>
      </c>
      <c r="AE105" s="198">
        <f t="shared" si="18"/>
        <v>0</v>
      </c>
      <c r="AF105" s="199">
        <f t="shared" si="25"/>
        <v>0</v>
      </c>
      <c r="AG105" s="198">
        <f t="shared" si="19"/>
        <v>0</v>
      </c>
      <c r="AH105" s="199">
        <f t="shared" si="26"/>
        <v>0</v>
      </c>
      <c r="AI105" s="198">
        <f t="shared" si="20"/>
        <v>0</v>
      </c>
      <c r="AJ105" s="199">
        <f t="shared" si="27"/>
        <v>0</v>
      </c>
    </row>
    <row r="106" spans="1:36" ht="21.75" customHeight="1" x14ac:dyDescent="0.25">
      <c r="A106" s="185" t="s">
        <v>912</v>
      </c>
      <c r="B106" s="185" t="s">
        <v>677</v>
      </c>
      <c r="C106" s="185" t="s">
        <v>499</v>
      </c>
      <c r="D106" s="186" t="s">
        <v>500</v>
      </c>
      <c r="E106" s="185" t="s">
        <v>509</v>
      </c>
      <c r="F106" s="187">
        <v>103</v>
      </c>
      <c r="G106" s="188" t="s">
        <v>703</v>
      </c>
      <c r="H106" s="189" t="s">
        <v>720</v>
      </c>
      <c r="I106" s="212" t="s">
        <v>946</v>
      </c>
      <c r="J106" s="183"/>
      <c r="K106" s="183"/>
      <c r="L106" s="189" t="s">
        <v>534</v>
      </c>
      <c r="M106" s="183" t="s">
        <v>721</v>
      </c>
      <c r="N106" s="189" t="s">
        <v>507</v>
      </c>
      <c r="O106" s="202" t="s">
        <v>554</v>
      </c>
      <c r="P106" s="203"/>
      <c r="Q106" s="192">
        <v>100</v>
      </c>
      <c r="R106" s="193">
        <v>4083</v>
      </c>
      <c r="S106" s="195"/>
      <c r="T106" s="194">
        <v>1</v>
      </c>
      <c r="U106" s="193">
        <v>4083</v>
      </c>
      <c r="V106" s="196">
        <f t="shared" si="14"/>
        <v>41974</v>
      </c>
      <c r="W106" s="197">
        <f t="shared" si="21"/>
        <v>109</v>
      </c>
      <c r="X106" s="197"/>
      <c r="Y106" s="198">
        <f t="shared" si="15"/>
        <v>0</v>
      </c>
      <c r="Z106" s="199">
        <f t="shared" si="22"/>
        <v>0</v>
      </c>
      <c r="AA106" s="198">
        <f t="shared" si="16"/>
        <v>1</v>
      </c>
      <c r="AB106" s="199">
        <f t="shared" si="23"/>
        <v>4083</v>
      </c>
      <c r="AC106" s="198">
        <f t="shared" si="17"/>
        <v>0</v>
      </c>
      <c r="AD106" s="199">
        <f t="shared" si="24"/>
        <v>0</v>
      </c>
      <c r="AE106" s="198">
        <f t="shared" si="18"/>
        <v>0</v>
      </c>
      <c r="AF106" s="199">
        <f t="shared" si="25"/>
        <v>0</v>
      </c>
      <c r="AG106" s="198">
        <f t="shared" si="19"/>
        <v>0</v>
      </c>
      <c r="AH106" s="199">
        <f t="shared" si="26"/>
        <v>0</v>
      </c>
      <c r="AI106" s="198">
        <f t="shared" si="20"/>
        <v>0</v>
      </c>
      <c r="AJ106" s="199">
        <f t="shared" si="27"/>
        <v>0</v>
      </c>
    </row>
    <row r="107" spans="1:36" ht="21.75" customHeight="1" x14ac:dyDescent="0.25">
      <c r="A107" s="185" t="s">
        <v>912</v>
      </c>
      <c r="B107" s="185" t="s">
        <v>677</v>
      </c>
      <c r="C107" s="185" t="s">
        <v>499</v>
      </c>
      <c r="D107" s="186" t="s">
        <v>500</v>
      </c>
      <c r="E107" s="185" t="s">
        <v>509</v>
      </c>
      <c r="F107" s="187">
        <v>104</v>
      </c>
      <c r="G107" s="188" t="s">
        <v>722</v>
      </c>
      <c r="H107" s="189" t="s">
        <v>723</v>
      </c>
      <c r="I107" s="212" t="s">
        <v>946</v>
      </c>
      <c r="J107" s="183"/>
      <c r="K107" s="183"/>
      <c r="L107" s="189" t="s">
        <v>534</v>
      </c>
      <c r="M107" s="183" t="s">
        <v>570</v>
      </c>
      <c r="N107" s="189" t="s">
        <v>507</v>
      </c>
      <c r="O107" s="202" t="s">
        <v>554</v>
      </c>
      <c r="P107" s="203"/>
      <c r="Q107" s="192">
        <v>100</v>
      </c>
      <c r="R107" s="193">
        <v>8217.99</v>
      </c>
      <c r="S107" s="195"/>
      <c r="T107" s="194">
        <v>1</v>
      </c>
      <c r="U107" s="193">
        <v>8217.99</v>
      </c>
      <c r="V107" s="196">
        <f t="shared" si="14"/>
        <v>40878</v>
      </c>
      <c r="W107" s="197">
        <f t="shared" si="21"/>
        <v>145</v>
      </c>
      <c r="X107" s="197"/>
      <c r="Y107" s="198">
        <f t="shared" si="15"/>
        <v>1</v>
      </c>
      <c r="Z107" s="199">
        <f t="shared" si="22"/>
        <v>8217.99</v>
      </c>
      <c r="AA107" s="198">
        <f t="shared" si="16"/>
        <v>0</v>
      </c>
      <c r="AB107" s="199">
        <f t="shared" si="23"/>
        <v>0</v>
      </c>
      <c r="AC107" s="198">
        <f t="shared" si="17"/>
        <v>0</v>
      </c>
      <c r="AD107" s="199">
        <f t="shared" si="24"/>
        <v>0</v>
      </c>
      <c r="AE107" s="198">
        <f t="shared" si="18"/>
        <v>0</v>
      </c>
      <c r="AF107" s="199">
        <f t="shared" si="25"/>
        <v>0</v>
      </c>
      <c r="AG107" s="198">
        <f t="shared" si="19"/>
        <v>0</v>
      </c>
      <c r="AH107" s="199">
        <f t="shared" si="26"/>
        <v>0</v>
      </c>
      <c r="AI107" s="198">
        <f t="shared" si="20"/>
        <v>0</v>
      </c>
      <c r="AJ107" s="199">
        <f t="shared" si="27"/>
        <v>0</v>
      </c>
    </row>
    <row r="108" spans="1:36" ht="21.75" customHeight="1" x14ac:dyDescent="0.25">
      <c r="A108" s="185" t="s">
        <v>912</v>
      </c>
      <c r="B108" s="185" t="s">
        <v>677</v>
      </c>
      <c r="C108" s="185" t="s">
        <v>499</v>
      </c>
      <c r="D108" s="186" t="s">
        <v>500</v>
      </c>
      <c r="E108" s="185" t="s">
        <v>509</v>
      </c>
      <c r="F108" s="187">
        <v>105</v>
      </c>
      <c r="G108" s="188" t="s">
        <v>724</v>
      </c>
      <c r="H108" s="189" t="s">
        <v>725</v>
      </c>
      <c r="I108" s="212" t="s">
        <v>946</v>
      </c>
      <c r="J108" s="183" t="s">
        <v>726</v>
      </c>
      <c r="K108" s="201">
        <v>4</v>
      </c>
      <c r="L108" s="189" t="s">
        <v>534</v>
      </c>
      <c r="M108" s="183" t="s">
        <v>506</v>
      </c>
      <c r="N108" s="189" t="s">
        <v>507</v>
      </c>
      <c r="O108" s="190">
        <v>1.19</v>
      </c>
      <c r="P108" s="191">
        <v>84</v>
      </c>
      <c r="Q108" s="192">
        <v>100</v>
      </c>
      <c r="R108" s="193">
        <v>3043.8</v>
      </c>
      <c r="S108" s="195"/>
      <c r="T108" s="194">
        <v>1</v>
      </c>
      <c r="U108" s="193">
        <v>3043.8</v>
      </c>
      <c r="V108" s="196">
        <f t="shared" si="14"/>
        <v>40299</v>
      </c>
      <c r="W108" s="197">
        <f t="shared" si="21"/>
        <v>164</v>
      </c>
      <c r="X108" s="197"/>
      <c r="Y108" s="198">
        <f t="shared" si="15"/>
        <v>1</v>
      </c>
      <c r="Z108" s="199">
        <f t="shared" si="22"/>
        <v>3043.8</v>
      </c>
      <c r="AA108" s="198">
        <f t="shared" si="16"/>
        <v>0</v>
      </c>
      <c r="AB108" s="199">
        <f t="shared" si="23"/>
        <v>0</v>
      </c>
      <c r="AC108" s="198">
        <f t="shared" si="17"/>
        <v>0</v>
      </c>
      <c r="AD108" s="199">
        <f t="shared" si="24"/>
        <v>0</v>
      </c>
      <c r="AE108" s="198">
        <f t="shared" si="18"/>
        <v>0</v>
      </c>
      <c r="AF108" s="199">
        <f t="shared" si="25"/>
        <v>0</v>
      </c>
      <c r="AG108" s="198">
        <f t="shared" si="19"/>
        <v>0</v>
      </c>
      <c r="AH108" s="199">
        <f t="shared" si="26"/>
        <v>0</v>
      </c>
      <c r="AI108" s="198">
        <f t="shared" si="20"/>
        <v>0</v>
      </c>
      <c r="AJ108" s="199">
        <f t="shared" si="27"/>
        <v>0</v>
      </c>
    </row>
    <row r="109" spans="1:36" ht="21.75" customHeight="1" x14ac:dyDescent="0.25">
      <c r="A109" s="185" t="s">
        <v>912</v>
      </c>
      <c r="B109" s="185" t="s">
        <v>677</v>
      </c>
      <c r="C109" s="185" t="s">
        <v>499</v>
      </c>
      <c r="D109" s="186" t="s">
        <v>500</v>
      </c>
      <c r="E109" s="185" t="s">
        <v>509</v>
      </c>
      <c r="F109" s="187">
        <v>106</v>
      </c>
      <c r="G109" s="188" t="s">
        <v>728</v>
      </c>
      <c r="H109" s="189" t="s">
        <v>731</v>
      </c>
      <c r="I109" s="212" t="s">
        <v>946</v>
      </c>
      <c r="J109" s="183" t="s">
        <v>730</v>
      </c>
      <c r="K109" s="201">
        <v>4</v>
      </c>
      <c r="L109" s="189" t="s">
        <v>534</v>
      </c>
      <c r="M109" s="183" t="s">
        <v>506</v>
      </c>
      <c r="N109" s="189" t="s">
        <v>507</v>
      </c>
      <c r="O109" s="190">
        <v>1.19</v>
      </c>
      <c r="P109" s="191">
        <v>84</v>
      </c>
      <c r="Q109" s="192">
        <v>100</v>
      </c>
      <c r="R109" s="193">
        <v>3524.5</v>
      </c>
      <c r="S109" s="195"/>
      <c r="T109" s="194">
        <v>1</v>
      </c>
      <c r="U109" s="193">
        <v>3524.5</v>
      </c>
      <c r="V109" s="196">
        <f t="shared" si="14"/>
        <v>40299</v>
      </c>
      <c r="W109" s="197">
        <f t="shared" si="21"/>
        <v>164</v>
      </c>
      <c r="X109" s="197"/>
      <c r="Y109" s="198">
        <f t="shared" si="15"/>
        <v>1</v>
      </c>
      <c r="Z109" s="199">
        <f t="shared" si="22"/>
        <v>3524.5</v>
      </c>
      <c r="AA109" s="198">
        <f t="shared" si="16"/>
        <v>0</v>
      </c>
      <c r="AB109" s="199">
        <f t="shared" si="23"/>
        <v>0</v>
      </c>
      <c r="AC109" s="198">
        <f t="shared" si="17"/>
        <v>0</v>
      </c>
      <c r="AD109" s="199">
        <f t="shared" si="24"/>
        <v>0</v>
      </c>
      <c r="AE109" s="198">
        <f t="shared" si="18"/>
        <v>0</v>
      </c>
      <c r="AF109" s="199">
        <f t="shared" si="25"/>
        <v>0</v>
      </c>
      <c r="AG109" s="198">
        <f t="shared" si="19"/>
        <v>0</v>
      </c>
      <c r="AH109" s="199">
        <f t="shared" si="26"/>
        <v>0</v>
      </c>
      <c r="AI109" s="198">
        <f t="shared" si="20"/>
        <v>0</v>
      </c>
      <c r="AJ109" s="199">
        <f t="shared" si="27"/>
        <v>0</v>
      </c>
    </row>
    <row r="110" spans="1:36" ht="21.75" customHeight="1" x14ac:dyDescent="0.25">
      <c r="A110" s="185" t="s">
        <v>912</v>
      </c>
      <c r="B110" s="185" t="s">
        <v>677</v>
      </c>
      <c r="C110" s="185" t="s">
        <v>499</v>
      </c>
      <c r="D110" s="186" t="s">
        <v>500</v>
      </c>
      <c r="E110" s="185" t="s">
        <v>509</v>
      </c>
      <c r="F110" s="187">
        <v>107</v>
      </c>
      <c r="G110" s="188" t="s">
        <v>728</v>
      </c>
      <c r="H110" s="189" t="s">
        <v>729</v>
      </c>
      <c r="I110" s="212" t="s">
        <v>946</v>
      </c>
      <c r="J110" s="183" t="s">
        <v>730</v>
      </c>
      <c r="K110" s="201">
        <v>4</v>
      </c>
      <c r="L110" s="189" t="s">
        <v>534</v>
      </c>
      <c r="M110" s="183" t="s">
        <v>506</v>
      </c>
      <c r="N110" s="189" t="s">
        <v>507</v>
      </c>
      <c r="O110" s="190">
        <v>1.19</v>
      </c>
      <c r="P110" s="191">
        <v>84</v>
      </c>
      <c r="Q110" s="192">
        <v>100</v>
      </c>
      <c r="R110" s="193">
        <v>3524.5</v>
      </c>
      <c r="S110" s="195"/>
      <c r="T110" s="194">
        <v>1</v>
      </c>
      <c r="U110" s="193">
        <v>3524.5</v>
      </c>
      <c r="V110" s="196">
        <f t="shared" si="14"/>
        <v>40299</v>
      </c>
      <c r="W110" s="197">
        <f t="shared" si="21"/>
        <v>164</v>
      </c>
      <c r="X110" s="197"/>
      <c r="Y110" s="198">
        <f t="shared" si="15"/>
        <v>1</v>
      </c>
      <c r="Z110" s="199">
        <f t="shared" si="22"/>
        <v>3524.5</v>
      </c>
      <c r="AA110" s="198">
        <f t="shared" si="16"/>
        <v>0</v>
      </c>
      <c r="AB110" s="199">
        <f t="shared" si="23"/>
        <v>0</v>
      </c>
      <c r="AC110" s="198">
        <f t="shared" si="17"/>
        <v>0</v>
      </c>
      <c r="AD110" s="199">
        <f t="shared" si="24"/>
        <v>0</v>
      </c>
      <c r="AE110" s="198">
        <f t="shared" si="18"/>
        <v>0</v>
      </c>
      <c r="AF110" s="199">
        <f t="shared" si="25"/>
        <v>0</v>
      </c>
      <c r="AG110" s="198">
        <f t="shared" si="19"/>
        <v>0</v>
      </c>
      <c r="AH110" s="199">
        <f t="shared" si="26"/>
        <v>0</v>
      </c>
      <c r="AI110" s="198">
        <f t="shared" si="20"/>
        <v>0</v>
      </c>
      <c r="AJ110" s="199">
        <f t="shared" si="27"/>
        <v>0</v>
      </c>
    </row>
    <row r="111" spans="1:36" ht="21.75" customHeight="1" x14ac:dyDescent="0.25">
      <c r="A111" s="185" t="s">
        <v>912</v>
      </c>
      <c r="B111" s="185" t="s">
        <v>677</v>
      </c>
      <c r="C111" s="185" t="s">
        <v>499</v>
      </c>
      <c r="D111" s="186" t="s">
        <v>500</v>
      </c>
      <c r="E111" s="185" t="s">
        <v>509</v>
      </c>
      <c r="F111" s="187">
        <v>108</v>
      </c>
      <c r="G111" s="188" t="s">
        <v>732</v>
      </c>
      <c r="H111" s="189" t="s">
        <v>735</v>
      </c>
      <c r="I111" s="212" t="s">
        <v>946</v>
      </c>
      <c r="J111" s="183" t="s">
        <v>734</v>
      </c>
      <c r="K111" s="201">
        <v>4</v>
      </c>
      <c r="L111" s="189" t="s">
        <v>534</v>
      </c>
      <c r="M111" s="183" t="s">
        <v>506</v>
      </c>
      <c r="N111" s="189" t="s">
        <v>507</v>
      </c>
      <c r="O111" s="190">
        <v>1.19</v>
      </c>
      <c r="P111" s="191">
        <v>84</v>
      </c>
      <c r="Q111" s="192">
        <v>100</v>
      </c>
      <c r="R111" s="193">
        <v>3359.2</v>
      </c>
      <c r="S111" s="195"/>
      <c r="T111" s="194">
        <v>1</v>
      </c>
      <c r="U111" s="193">
        <v>3359.2</v>
      </c>
      <c r="V111" s="196">
        <f t="shared" si="14"/>
        <v>40299</v>
      </c>
      <c r="W111" s="197">
        <f t="shared" si="21"/>
        <v>164</v>
      </c>
      <c r="X111" s="197"/>
      <c r="Y111" s="198">
        <f t="shared" si="15"/>
        <v>1</v>
      </c>
      <c r="Z111" s="199">
        <f t="shared" si="22"/>
        <v>3359.2</v>
      </c>
      <c r="AA111" s="198">
        <f t="shared" si="16"/>
        <v>0</v>
      </c>
      <c r="AB111" s="199">
        <f t="shared" si="23"/>
        <v>0</v>
      </c>
      <c r="AC111" s="198">
        <f t="shared" si="17"/>
        <v>0</v>
      </c>
      <c r="AD111" s="199">
        <f t="shared" si="24"/>
        <v>0</v>
      </c>
      <c r="AE111" s="198">
        <f t="shared" si="18"/>
        <v>0</v>
      </c>
      <c r="AF111" s="199">
        <f t="shared" si="25"/>
        <v>0</v>
      </c>
      <c r="AG111" s="198">
        <f t="shared" si="19"/>
        <v>0</v>
      </c>
      <c r="AH111" s="199">
        <f t="shared" si="26"/>
        <v>0</v>
      </c>
      <c r="AI111" s="198">
        <f t="shared" si="20"/>
        <v>0</v>
      </c>
      <c r="AJ111" s="199">
        <f t="shared" si="27"/>
        <v>0</v>
      </c>
    </row>
    <row r="112" spans="1:36" ht="21.75" customHeight="1" x14ac:dyDescent="0.25">
      <c r="A112" s="185" t="s">
        <v>912</v>
      </c>
      <c r="B112" s="185" t="s">
        <v>677</v>
      </c>
      <c r="C112" s="185" t="s">
        <v>499</v>
      </c>
      <c r="D112" s="186" t="s">
        <v>500</v>
      </c>
      <c r="E112" s="185" t="s">
        <v>509</v>
      </c>
      <c r="F112" s="187">
        <v>109</v>
      </c>
      <c r="G112" s="188" t="s">
        <v>736</v>
      </c>
      <c r="H112" s="189" t="s">
        <v>738</v>
      </c>
      <c r="I112" s="212" t="s">
        <v>946</v>
      </c>
      <c r="J112" s="183" t="s">
        <v>734</v>
      </c>
      <c r="K112" s="201">
        <v>4</v>
      </c>
      <c r="L112" s="189" t="s">
        <v>534</v>
      </c>
      <c r="M112" s="183" t="s">
        <v>506</v>
      </c>
      <c r="N112" s="189" t="s">
        <v>507</v>
      </c>
      <c r="O112" s="190">
        <v>1.19</v>
      </c>
      <c r="P112" s="191">
        <v>84</v>
      </c>
      <c r="Q112" s="192">
        <v>100</v>
      </c>
      <c r="R112" s="193">
        <v>3956.75</v>
      </c>
      <c r="S112" s="195"/>
      <c r="T112" s="194">
        <v>1</v>
      </c>
      <c r="U112" s="193">
        <v>3956.75</v>
      </c>
      <c r="V112" s="196">
        <f t="shared" si="14"/>
        <v>40299</v>
      </c>
      <c r="W112" s="197">
        <f t="shared" si="21"/>
        <v>164</v>
      </c>
      <c r="X112" s="197"/>
      <c r="Y112" s="198">
        <f t="shared" si="15"/>
        <v>1</v>
      </c>
      <c r="Z112" s="199">
        <f t="shared" si="22"/>
        <v>3956.75</v>
      </c>
      <c r="AA112" s="198">
        <f t="shared" si="16"/>
        <v>0</v>
      </c>
      <c r="AB112" s="199">
        <f t="shared" si="23"/>
        <v>0</v>
      </c>
      <c r="AC112" s="198">
        <f t="shared" si="17"/>
        <v>0</v>
      </c>
      <c r="AD112" s="199">
        <f t="shared" si="24"/>
        <v>0</v>
      </c>
      <c r="AE112" s="198">
        <f t="shared" si="18"/>
        <v>0</v>
      </c>
      <c r="AF112" s="199">
        <f t="shared" si="25"/>
        <v>0</v>
      </c>
      <c r="AG112" s="198">
        <f t="shared" si="19"/>
        <v>0</v>
      </c>
      <c r="AH112" s="199">
        <f t="shared" si="26"/>
        <v>0</v>
      </c>
      <c r="AI112" s="198">
        <f t="shared" si="20"/>
        <v>0</v>
      </c>
      <c r="AJ112" s="199">
        <f t="shared" si="27"/>
        <v>0</v>
      </c>
    </row>
    <row r="113" spans="1:36" ht="21.75" customHeight="1" x14ac:dyDescent="0.25">
      <c r="A113" s="185" t="s">
        <v>912</v>
      </c>
      <c r="B113" s="185" t="s">
        <v>677</v>
      </c>
      <c r="C113" s="185" t="s">
        <v>499</v>
      </c>
      <c r="D113" s="186" t="s">
        <v>500</v>
      </c>
      <c r="E113" s="185" t="s">
        <v>509</v>
      </c>
      <c r="F113" s="187">
        <v>110</v>
      </c>
      <c r="G113" s="188" t="s">
        <v>736</v>
      </c>
      <c r="H113" s="189" t="s">
        <v>737</v>
      </c>
      <c r="I113" s="212" t="s">
        <v>946</v>
      </c>
      <c r="J113" s="183" t="s">
        <v>734</v>
      </c>
      <c r="K113" s="201">
        <v>4</v>
      </c>
      <c r="L113" s="189" t="s">
        <v>534</v>
      </c>
      <c r="M113" s="183" t="s">
        <v>506</v>
      </c>
      <c r="N113" s="189" t="s">
        <v>507</v>
      </c>
      <c r="O113" s="190">
        <v>1.19</v>
      </c>
      <c r="P113" s="191">
        <v>84</v>
      </c>
      <c r="Q113" s="192">
        <v>100</v>
      </c>
      <c r="R113" s="193">
        <v>3956.75</v>
      </c>
      <c r="S113" s="195"/>
      <c r="T113" s="194">
        <v>1</v>
      </c>
      <c r="U113" s="193">
        <v>3956.75</v>
      </c>
      <c r="V113" s="196">
        <f t="shared" si="14"/>
        <v>40299</v>
      </c>
      <c r="W113" s="197">
        <f t="shared" si="21"/>
        <v>164</v>
      </c>
      <c r="X113" s="197"/>
      <c r="Y113" s="198">
        <f t="shared" si="15"/>
        <v>1</v>
      </c>
      <c r="Z113" s="199">
        <f t="shared" si="22"/>
        <v>3956.75</v>
      </c>
      <c r="AA113" s="198">
        <f t="shared" si="16"/>
        <v>0</v>
      </c>
      <c r="AB113" s="199">
        <f t="shared" si="23"/>
        <v>0</v>
      </c>
      <c r="AC113" s="198">
        <f t="shared" si="17"/>
        <v>0</v>
      </c>
      <c r="AD113" s="199">
        <f t="shared" si="24"/>
        <v>0</v>
      </c>
      <c r="AE113" s="198">
        <f t="shared" si="18"/>
        <v>0</v>
      </c>
      <c r="AF113" s="199">
        <f t="shared" si="25"/>
        <v>0</v>
      </c>
      <c r="AG113" s="198">
        <f t="shared" si="19"/>
        <v>0</v>
      </c>
      <c r="AH113" s="199">
        <f t="shared" si="26"/>
        <v>0</v>
      </c>
      <c r="AI113" s="198">
        <f t="shared" si="20"/>
        <v>0</v>
      </c>
      <c r="AJ113" s="199">
        <f t="shared" si="27"/>
        <v>0</v>
      </c>
    </row>
    <row r="114" spans="1:36" ht="21.75" customHeight="1" x14ac:dyDescent="0.25">
      <c r="A114" s="185" t="s">
        <v>912</v>
      </c>
      <c r="B114" s="185" t="s">
        <v>677</v>
      </c>
      <c r="C114" s="185" t="s">
        <v>499</v>
      </c>
      <c r="D114" s="186" t="s">
        <v>500</v>
      </c>
      <c r="E114" s="185" t="s">
        <v>509</v>
      </c>
      <c r="F114" s="187">
        <v>111</v>
      </c>
      <c r="G114" s="188" t="s">
        <v>739</v>
      </c>
      <c r="H114" s="189" t="s">
        <v>740</v>
      </c>
      <c r="I114" s="212" t="s">
        <v>946</v>
      </c>
      <c r="J114" s="201">
        <v>1</v>
      </c>
      <c r="K114" s="183"/>
      <c r="L114" s="189" t="s">
        <v>534</v>
      </c>
      <c r="M114" s="183" t="s">
        <v>741</v>
      </c>
      <c r="N114" s="189" t="s">
        <v>507</v>
      </c>
      <c r="O114" s="202" t="s">
        <v>554</v>
      </c>
      <c r="P114" s="203"/>
      <c r="Q114" s="192">
        <v>100</v>
      </c>
      <c r="R114" s="193">
        <v>4851</v>
      </c>
      <c r="S114" s="195"/>
      <c r="T114" s="194">
        <v>1</v>
      </c>
      <c r="U114" s="193">
        <v>4851</v>
      </c>
      <c r="V114" s="196">
        <f t="shared" si="14"/>
        <v>40330</v>
      </c>
      <c r="W114" s="197">
        <f t="shared" si="21"/>
        <v>163</v>
      </c>
      <c r="X114" s="197"/>
      <c r="Y114" s="198">
        <f t="shared" si="15"/>
        <v>1</v>
      </c>
      <c r="Z114" s="199">
        <f t="shared" si="22"/>
        <v>4851</v>
      </c>
      <c r="AA114" s="198">
        <f t="shared" si="16"/>
        <v>0</v>
      </c>
      <c r="AB114" s="199">
        <f t="shared" si="23"/>
        <v>0</v>
      </c>
      <c r="AC114" s="198">
        <f t="shared" si="17"/>
        <v>0</v>
      </c>
      <c r="AD114" s="199">
        <f t="shared" si="24"/>
        <v>0</v>
      </c>
      <c r="AE114" s="198">
        <f t="shared" si="18"/>
        <v>0</v>
      </c>
      <c r="AF114" s="199">
        <f t="shared" si="25"/>
        <v>0</v>
      </c>
      <c r="AG114" s="198">
        <f t="shared" si="19"/>
        <v>0</v>
      </c>
      <c r="AH114" s="199">
        <f t="shared" si="26"/>
        <v>0</v>
      </c>
      <c r="AI114" s="198">
        <f t="shared" si="20"/>
        <v>0</v>
      </c>
      <c r="AJ114" s="199">
        <f t="shared" si="27"/>
        <v>0</v>
      </c>
    </row>
    <row r="115" spans="1:36" ht="21.75" customHeight="1" x14ac:dyDescent="0.25">
      <c r="A115" s="185" t="s">
        <v>912</v>
      </c>
      <c r="B115" s="185" t="s">
        <v>677</v>
      </c>
      <c r="C115" s="185" t="s">
        <v>499</v>
      </c>
      <c r="D115" s="186" t="s">
        <v>500</v>
      </c>
      <c r="E115" s="185" t="s">
        <v>509</v>
      </c>
      <c r="F115" s="187">
        <v>112</v>
      </c>
      <c r="G115" s="188" t="s">
        <v>742</v>
      </c>
      <c r="H115" s="189" t="s">
        <v>743</v>
      </c>
      <c r="I115" s="212" t="s">
        <v>946</v>
      </c>
      <c r="J115" s="201">
        <v>1</v>
      </c>
      <c r="K115" s="183"/>
      <c r="L115" s="189" t="s">
        <v>534</v>
      </c>
      <c r="M115" s="183" t="s">
        <v>741</v>
      </c>
      <c r="N115" s="189" t="s">
        <v>507</v>
      </c>
      <c r="O115" s="202" t="s">
        <v>554</v>
      </c>
      <c r="P115" s="203"/>
      <c r="Q115" s="192">
        <v>100</v>
      </c>
      <c r="R115" s="193">
        <v>3165.4</v>
      </c>
      <c r="S115" s="195"/>
      <c r="T115" s="194">
        <v>1</v>
      </c>
      <c r="U115" s="193">
        <v>3165.4</v>
      </c>
      <c r="V115" s="196">
        <f t="shared" si="14"/>
        <v>40330</v>
      </c>
      <c r="W115" s="197">
        <f t="shared" si="21"/>
        <v>163</v>
      </c>
      <c r="X115" s="197"/>
      <c r="Y115" s="198">
        <f t="shared" si="15"/>
        <v>1</v>
      </c>
      <c r="Z115" s="199">
        <f t="shared" si="22"/>
        <v>3165.4</v>
      </c>
      <c r="AA115" s="198">
        <f t="shared" si="16"/>
        <v>0</v>
      </c>
      <c r="AB115" s="199">
        <f t="shared" si="23"/>
        <v>0</v>
      </c>
      <c r="AC115" s="198">
        <f t="shared" si="17"/>
        <v>0</v>
      </c>
      <c r="AD115" s="199">
        <f t="shared" si="24"/>
        <v>0</v>
      </c>
      <c r="AE115" s="198">
        <f t="shared" si="18"/>
        <v>0</v>
      </c>
      <c r="AF115" s="199">
        <f t="shared" si="25"/>
        <v>0</v>
      </c>
      <c r="AG115" s="198">
        <f t="shared" si="19"/>
        <v>0</v>
      </c>
      <c r="AH115" s="199">
        <f t="shared" si="26"/>
        <v>0</v>
      </c>
      <c r="AI115" s="198">
        <f t="shared" si="20"/>
        <v>0</v>
      </c>
      <c r="AJ115" s="199">
        <f t="shared" si="27"/>
        <v>0</v>
      </c>
    </row>
    <row r="116" spans="1:36" ht="21.75" customHeight="1" x14ac:dyDescent="0.25">
      <c r="A116" s="185" t="s">
        <v>912</v>
      </c>
      <c r="B116" s="185" t="s">
        <v>677</v>
      </c>
      <c r="C116" s="185" t="s">
        <v>499</v>
      </c>
      <c r="D116" s="186" t="s">
        <v>500</v>
      </c>
      <c r="E116" s="185" t="s">
        <v>509</v>
      </c>
      <c r="F116" s="187">
        <v>113</v>
      </c>
      <c r="G116" s="188" t="s">
        <v>744</v>
      </c>
      <c r="H116" s="189" t="s">
        <v>745</v>
      </c>
      <c r="I116" s="212" t="s">
        <v>946</v>
      </c>
      <c r="J116" s="183" t="s">
        <v>746</v>
      </c>
      <c r="K116" s="201">
        <v>6</v>
      </c>
      <c r="L116" s="189" t="s">
        <v>505</v>
      </c>
      <c r="M116" s="183" t="s">
        <v>747</v>
      </c>
      <c r="N116" s="189" t="s">
        <v>507</v>
      </c>
      <c r="O116" s="190">
        <v>0.55600000000000005</v>
      </c>
      <c r="P116" s="191">
        <v>180</v>
      </c>
      <c r="Q116" s="192">
        <v>90</v>
      </c>
      <c r="R116" s="193">
        <v>29880</v>
      </c>
      <c r="S116" s="195">
        <f>R116-U116</f>
        <v>2988</v>
      </c>
      <c r="T116" s="194">
        <v>1</v>
      </c>
      <c r="U116" s="193">
        <v>26892</v>
      </c>
      <c r="V116" s="196">
        <f t="shared" si="14"/>
        <v>40330</v>
      </c>
      <c r="W116" s="197">
        <f t="shared" si="21"/>
        <v>163</v>
      </c>
      <c r="X116" s="25">
        <f>P116-W116</f>
        <v>17</v>
      </c>
      <c r="Y116" s="198">
        <f t="shared" si="15"/>
        <v>1</v>
      </c>
      <c r="Z116" s="199">
        <f t="shared" si="22"/>
        <v>29880</v>
      </c>
      <c r="AA116" s="198">
        <f t="shared" si="16"/>
        <v>0</v>
      </c>
      <c r="AB116" s="199">
        <f t="shared" si="23"/>
        <v>0</v>
      </c>
      <c r="AC116" s="198">
        <f t="shared" si="17"/>
        <v>0</v>
      </c>
      <c r="AD116" s="199">
        <f t="shared" si="24"/>
        <v>0</v>
      </c>
      <c r="AE116" s="198">
        <f t="shared" si="18"/>
        <v>0</v>
      </c>
      <c r="AF116" s="199">
        <f t="shared" si="25"/>
        <v>0</v>
      </c>
      <c r="AG116" s="198">
        <f t="shared" si="19"/>
        <v>0</v>
      </c>
      <c r="AH116" s="199">
        <f t="shared" si="26"/>
        <v>0</v>
      </c>
      <c r="AI116" s="198">
        <f t="shared" si="20"/>
        <v>0</v>
      </c>
      <c r="AJ116" s="199">
        <f t="shared" si="27"/>
        <v>0</v>
      </c>
    </row>
    <row r="117" spans="1:36" ht="21.75" customHeight="1" x14ac:dyDescent="0.25">
      <c r="A117" s="185" t="s">
        <v>912</v>
      </c>
      <c r="B117" s="185" t="s">
        <v>677</v>
      </c>
      <c r="C117" s="185" t="s">
        <v>499</v>
      </c>
      <c r="D117" s="186" t="s">
        <v>500</v>
      </c>
      <c r="E117" s="185" t="s">
        <v>509</v>
      </c>
      <c r="F117" s="187">
        <v>114</v>
      </c>
      <c r="G117" s="188" t="s">
        <v>748</v>
      </c>
      <c r="H117" s="189" t="s">
        <v>749</v>
      </c>
      <c r="I117" s="212" t="s">
        <v>946</v>
      </c>
      <c r="J117" s="201">
        <v>1</v>
      </c>
      <c r="K117" s="183"/>
      <c r="L117" s="189" t="s">
        <v>534</v>
      </c>
      <c r="M117" s="183" t="s">
        <v>750</v>
      </c>
      <c r="N117" s="189" t="s">
        <v>507</v>
      </c>
      <c r="O117" s="202" t="s">
        <v>554</v>
      </c>
      <c r="P117" s="203"/>
      <c r="Q117" s="192">
        <v>100</v>
      </c>
      <c r="R117" s="193">
        <v>7300</v>
      </c>
      <c r="S117" s="195"/>
      <c r="T117" s="194">
        <v>1</v>
      </c>
      <c r="U117" s="193">
        <v>7300</v>
      </c>
      <c r="V117" s="196">
        <f t="shared" si="14"/>
        <v>40360</v>
      </c>
      <c r="W117" s="197">
        <f t="shared" si="21"/>
        <v>162</v>
      </c>
      <c r="X117" s="197"/>
      <c r="Y117" s="198">
        <f t="shared" si="15"/>
        <v>1</v>
      </c>
      <c r="Z117" s="199">
        <f t="shared" si="22"/>
        <v>7300</v>
      </c>
      <c r="AA117" s="198">
        <f t="shared" si="16"/>
        <v>0</v>
      </c>
      <c r="AB117" s="199">
        <f t="shared" si="23"/>
        <v>0</v>
      </c>
      <c r="AC117" s="198">
        <f t="shared" si="17"/>
        <v>0</v>
      </c>
      <c r="AD117" s="199">
        <f t="shared" si="24"/>
        <v>0</v>
      </c>
      <c r="AE117" s="198">
        <f t="shared" si="18"/>
        <v>0</v>
      </c>
      <c r="AF117" s="199">
        <f t="shared" si="25"/>
        <v>0</v>
      </c>
      <c r="AG117" s="198">
        <f t="shared" si="19"/>
        <v>0</v>
      </c>
      <c r="AH117" s="199">
        <f t="shared" si="26"/>
        <v>0</v>
      </c>
      <c r="AI117" s="198">
        <f t="shared" si="20"/>
        <v>0</v>
      </c>
      <c r="AJ117" s="199">
        <f t="shared" si="27"/>
        <v>0</v>
      </c>
    </row>
    <row r="118" spans="1:36" ht="21.75" customHeight="1" x14ac:dyDescent="0.25">
      <c r="A118" s="185" t="s">
        <v>912</v>
      </c>
      <c r="B118" s="185" t="s">
        <v>677</v>
      </c>
      <c r="C118" s="185" t="s">
        <v>499</v>
      </c>
      <c r="D118" s="186" t="s">
        <v>500</v>
      </c>
      <c r="E118" s="185" t="s">
        <v>509</v>
      </c>
      <c r="F118" s="187">
        <v>115</v>
      </c>
      <c r="G118" s="188" t="s">
        <v>751</v>
      </c>
      <c r="H118" s="189" t="s">
        <v>752</v>
      </c>
      <c r="I118" s="212" t="s">
        <v>946</v>
      </c>
      <c r="J118" s="201">
        <v>1</v>
      </c>
      <c r="K118" s="201">
        <v>8</v>
      </c>
      <c r="L118" s="189" t="s">
        <v>505</v>
      </c>
      <c r="M118" s="183" t="s">
        <v>753</v>
      </c>
      <c r="N118" s="189" t="s">
        <v>507</v>
      </c>
      <c r="O118" s="190">
        <v>0.372</v>
      </c>
      <c r="P118" s="191">
        <v>300</v>
      </c>
      <c r="Q118" s="192">
        <v>70.69</v>
      </c>
      <c r="R118" s="193">
        <v>24990.01</v>
      </c>
      <c r="S118" s="195">
        <f>R118-U118</f>
        <v>7324.3599999999969</v>
      </c>
      <c r="T118" s="194">
        <v>1</v>
      </c>
      <c r="U118" s="193">
        <v>17665.650000000001</v>
      </c>
      <c r="V118" s="196">
        <f t="shared" si="14"/>
        <v>39600</v>
      </c>
      <c r="W118" s="197">
        <f t="shared" si="21"/>
        <v>187</v>
      </c>
      <c r="X118" s="25">
        <f>P118-W118</f>
        <v>113</v>
      </c>
      <c r="Y118" s="198">
        <f t="shared" si="15"/>
        <v>1</v>
      </c>
      <c r="Z118" s="199">
        <f t="shared" si="22"/>
        <v>24990.01</v>
      </c>
      <c r="AA118" s="198">
        <f t="shared" si="16"/>
        <v>0</v>
      </c>
      <c r="AB118" s="199">
        <f t="shared" si="23"/>
        <v>0</v>
      </c>
      <c r="AC118" s="198">
        <f t="shared" si="17"/>
        <v>0</v>
      </c>
      <c r="AD118" s="199">
        <f t="shared" si="24"/>
        <v>0</v>
      </c>
      <c r="AE118" s="198">
        <f t="shared" si="18"/>
        <v>0</v>
      </c>
      <c r="AF118" s="199">
        <f t="shared" si="25"/>
        <v>0</v>
      </c>
      <c r="AG118" s="198">
        <f t="shared" si="19"/>
        <v>0</v>
      </c>
      <c r="AH118" s="199">
        <f t="shared" si="26"/>
        <v>0</v>
      </c>
      <c r="AI118" s="198">
        <f t="shared" si="20"/>
        <v>0</v>
      </c>
      <c r="AJ118" s="199">
        <f t="shared" si="27"/>
        <v>0</v>
      </c>
    </row>
    <row r="119" spans="1:36" ht="21.75" customHeight="1" x14ac:dyDescent="0.25">
      <c r="A119" s="185" t="s">
        <v>912</v>
      </c>
      <c r="B119" s="185" t="s">
        <v>677</v>
      </c>
      <c r="C119" s="185" t="s">
        <v>499</v>
      </c>
      <c r="D119" s="186" t="s">
        <v>500</v>
      </c>
      <c r="E119" s="185" t="s">
        <v>509</v>
      </c>
      <c r="F119" s="187">
        <v>116</v>
      </c>
      <c r="G119" s="188" t="s">
        <v>754</v>
      </c>
      <c r="H119" s="189" t="s">
        <v>755</v>
      </c>
      <c r="I119" s="212" t="s">
        <v>946</v>
      </c>
      <c r="J119" s="201">
        <v>1</v>
      </c>
      <c r="K119" s="183"/>
      <c r="L119" s="189" t="s">
        <v>534</v>
      </c>
      <c r="M119" s="183" t="s">
        <v>636</v>
      </c>
      <c r="N119" s="189" t="s">
        <v>507</v>
      </c>
      <c r="O119" s="202" t="s">
        <v>554</v>
      </c>
      <c r="P119" s="203"/>
      <c r="Q119" s="192">
        <v>100</v>
      </c>
      <c r="R119" s="193">
        <v>9350</v>
      </c>
      <c r="S119" s="195"/>
      <c r="T119" s="194">
        <v>1</v>
      </c>
      <c r="U119" s="193">
        <v>9350</v>
      </c>
      <c r="V119" s="196">
        <f t="shared" si="14"/>
        <v>40360</v>
      </c>
      <c r="W119" s="197">
        <f t="shared" si="21"/>
        <v>162</v>
      </c>
      <c r="X119" s="197"/>
      <c r="Y119" s="198">
        <f t="shared" si="15"/>
        <v>1</v>
      </c>
      <c r="Z119" s="199">
        <f t="shared" si="22"/>
        <v>9350</v>
      </c>
      <c r="AA119" s="198">
        <f t="shared" si="16"/>
        <v>0</v>
      </c>
      <c r="AB119" s="199">
        <f t="shared" si="23"/>
        <v>0</v>
      </c>
      <c r="AC119" s="198">
        <f t="shared" si="17"/>
        <v>0</v>
      </c>
      <c r="AD119" s="199">
        <f t="shared" si="24"/>
        <v>0</v>
      </c>
      <c r="AE119" s="198">
        <f t="shared" si="18"/>
        <v>0</v>
      </c>
      <c r="AF119" s="199">
        <f t="shared" si="25"/>
        <v>0</v>
      </c>
      <c r="AG119" s="198">
        <f t="shared" si="19"/>
        <v>0</v>
      </c>
      <c r="AH119" s="199">
        <f t="shared" si="26"/>
        <v>0</v>
      </c>
      <c r="AI119" s="198">
        <f t="shared" si="20"/>
        <v>0</v>
      </c>
      <c r="AJ119" s="199">
        <f t="shared" si="27"/>
        <v>0</v>
      </c>
    </row>
    <row r="120" spans="1:36" ht="21.75" customHeight="1" x14ac:dyDescent="0.25">
      <c r="A120" s="185" t="s">
        <v>912</v>
      </c>
      <c r="B120" s="185" t="s">
        <v>677</v>
      </c>
      <c r="C120" s="185" t="s">
        <v>499</v>
      </c>
      <c r="D120" s="186" t="s">
        <v>500</v>
      </c>
      <c r="E120" s="185" t="s">
        <v>509</v>
      </c>
      <c r="F120" s="187">
        <v>117</v>
      </c>
      <c r="G120" s="188" t="s">
        <v>1110</v>
      </c>
      <c r="H120" s="189" t="s">
        <v>756</v>
      </c>
      <c r="I120" s="212" t="s">
        <v>946</v>
      </c>
      <c r="J120" s="201">
        <v>1</v>
      </c>
      <c r="K120" s="183"/>
      <c r="L120" s="189" t="s">
        <v>534</v>
      </c>
      <c r="M120" s="183" t="s">
        <v>636</v>
      </c>
      <c r="N120" s="189" t="s">
        <v>507</v>
      </c>
      <c r="O120" s="202" t="s">
        <v>554</v>
      </c>
      <c r="P120" s="203"/>
      <c r="Q120" s="192">
        <v>100</v>
      </c>
      <c r="R120" s="193">
        <v>6528</v>
      </c>
      <c r="S120" s="195"/>
      <c r="T120" s="194">
        <v>1</v>
      </c>
      <c r="U120" s="193">
        <v>6528</v>
      </c>
      <c r="V120" s="196">
        <f t="shared" si="14"/>
        <v>40360</v>
      </c>
      <c r="W120" s="197">
        <f t="shared" si="21"/>
        <v>162</v>
      </c>
      <c r="X120" s="197"/>
      <c r="Y120" s="198">
        <f t="shared" si="15"/>
        <v>1</v>
      </c>
      <c r="Z120" s="199">
        <f t="shared" si="22"/>
        <v>6528</v>
      </c>
      <c r="AA120" s="198">
        <f t="shared" si="16"/>
        <v>0</v>
      </c>
      <c r="AB120" s="199">
        <f t="shared" si="23"/>
        <v>0</v>
      </c>
      <c r="AC120" s="198">
        <f t="shared" si="17"/>
        <v>0</v>
      </c>
      <c r="AD120" s="199">
        <f t="shared" si="24"/>
        <v>0</v>
      </c>
      <c r="AE120" s="198">
        <f t="shared" si="18"/>
        <v>0</v>
      </c>
      <c r="AF120" s="199">
        <f t="shared" si="25"/>
        <v>0</v>
      </c>
      <c r="AG120" s="198">
        <f t="shared" si="19"/>
        <v>0</v>
      </c>
      <c r="AH120" s="199">
        <f t="shared" si="26"/>
        <v>0</v>
      </c>
      <c r="AI120" s="198">
        <f t="shared" si="20"/>
        <v>0</v>
      </c>
      <c r="AJ120" s="199">
        <f t="shared" si="27"/>
        <v>0</v>
      </c>
    </row>
    <row r="121" spans="1:36" ht="21.75" customHeight="1" x14ac:dyDescent="0.25">
      <c r="A121" s="185" t="s">
        <v>912</v>
      </c>
      <c r="B121" s="185" t="s">
        <v>677</v>
      </c>
      <c r="C121" s="185" t="s">
        <v>499</v>
      </c>
      <c r="D121" s="186" t="s">
        <v>500</v>
      </c>
      <c r="E121" s="185" t="s">
        <v>509</v>
      </c>
      <c r="F121" s="187">
        <v>118</v>
      </c>
      <c r="G121" s="188" t="s">
        <v>757</v>
      </c>
      <c r="H121" s="189" t="s">
        <v>758</v>
      </c>
      <c r="I121" s="212" t="s">
        <v>946</v>
      </c>
      <c r="J121" s="201">
        <v>1</v>
      </c>
      <c r="K121" s="183"/>
      <c r="L121" s="189" t="s">
        <v>534</v>
      </c>
      <c r="M121" s="183" t="s">
        <v>636</v>
      </c>
      <c r="N121" s="189" t="s">
        <v>507</v>
      </c>
      <c r="O121" s="202" t="s">
        <v>554</v>
      </c>
      <c r="P121" s="203"/>
      <c r="Q121" s="192">
        <v>100</v>
      </c>
      <c r="R121" s="193">
        <v>6528</v>
      </c>
      <c r="S121" s="195"/>
      <c r="T121" s="194">
        <v>1</v>
      </c>
      <c r="U121" s="193">
        <v>6528</v>
      </c>
      <c r="V121" s="196">
        <f t="shared" si="14"/>
        <v>40360</v>
      </c>
      <c r="W121" s="197">
        <f t="shared" si="21"/>
        <v>162</v>
      </c>
      <c r="X121" s="197"/>
      <c r="Y121" s="198">
        <f t="shared" si="15"/>
        <v>1</v>
      </c>
      <c r="Z121" s="199">
        <f t="shared" si="22"/>
        <v>6528</v>
      </c>
      <c r="AA121" s="198">
        <f t="shared" si="16"/>
        <v>0</v>
      </c>
      <c r="AB121" s="199">
        <f t="shared" si="23"/>
        <v>0</v>
      </c>
      <c r="AC121" s="198">
        <f t="shared" si="17"/>
        <v>0</v>
      </c>
      <c r="AD121" s="199">
        <f t="shared" si="24"/>
        <v>0</v>
      </c>
      <c r="AE121" s="198">
        <f t="shared" si="18"/>
        <v>0</v>
      </c>
      <c r="AF121" s="199">
        <f t="shared" si="25"/>
        <v>0</v>
      </c>
      <c r="AG121" s="198">
        <f t="shared" si="19"/>
        <v>0</v>
      </c>
      <c r="AH121" s="199">
        <f t="shared" si="26"/>
        <v>0</v>
      </c>
      <c r="AI121" s="198">
        <f t="shared" si="20"/>
        <v>0</v>
      </c>
      <c r="AJ121" s="199">
        <f t="shared" si="27"/>
        <v>0</v>
      </c>
    </row>
    <row r="122" spans="1:36" ht="21.75" customHeight="1" x14ac:dyDescent="0.25">
      <c r="A122" s="185" t="s">
        <v>912</v>
      </c>
      <c r="B122" s="185" t="s">
        <v>677</v>
      </c>
      <c r="C122" s="185" t="s">
        <v>499</v>
      </c>
      <c r="D122" s="186" t="s">
        <v>500</v>
      </c>
      <c r="E122" s="185" t="s">
        <v>509</v>
      </c>
      <c r="F122" s="187">
        <v>119</v>
      </c>
      <c r="G122" s="188" t="s">
        <v>759</v>
      </c>
      <c r="H122" s="189" t="s">
        <v>760</v>
      </c>
      <c r="I122" s="212" t="s">
        <v>946</v>
      </c>
      <c r="J122" s="201">
        <v>1</v>
      </c>
      <c r="K122" s="183"/>
      <c r="L122" s="189" t="s">
        <v>534</v>
      </c>
      <c r="M122" s="183" t="s">
        <v>636</v>
      </c>
      <c r="N122" s="189" t="s">
        <v>507</v>
      </c>
      <c r="O122" s="202" t="s">
        <v>554</v>
      </c>
      <c r="P122" s="203"/>
      <c r="Q122" s="192">
        <v>100</v>
      </c>
      <c r="R122" s="193">
        <v>4845</v>
      </c>
      <c r="S122" s="195"/>
      <c r="T122" s="194">
        <v>1</v>
      </c>
      <c r="U122" s="193">
        <v>4845</v>
      </c>
      <c r="V122" s="196">
        <f t="shared" si="14"/>
        <v>40360</v>
      </c>
      <c r="W122" s="197">
        <f t="shared" si="21"/>
        <v>162</v>
      </c>
      <c r="X122" s="197"/>
      <c r="Y122" s="198">
        <f t="shared" si="15"/>
        <v>1</v>
      </c>
      <c r="Z122" s="199">
        <f t="shared" si="22"/>
        <v>4845</v>
      </c>
      <c r="AA122" s="198">
        <f t="shared" si="16"/>
        <v>0</v>
      </c>
      <c r="AB122" s="199">
        <f t="shared" si="23"/>
        <v>0</v>
      </c>
      <c r="AC122" s="198">
        <f t="shared" si="17"/>
        <v>0</v>
      </c>
      <c r="AD122" s="199">
        <f t="shared" si="24"/>
        <v>0</v>
      </c>
      <c r="AE122" s="198">
        <f t="shared" si="18"/>
        <v>0</v>
      </c>
      <c r="AF122" s="199">
        <f t="shared" si="25"/>
        <v>0</v>
      </c>
      <c r="AG122" s="198">
        <f t="shared" si="19"/>
        <v>0</v>
      </c>
      <c r="AH122" s="199">
        <f t="shared" si="26"/>
        <v>0</v>
      </c>
      <c r="AI122" s="198">
        <f t="shared" si="20"/>
        <v>0</v>
      </c>
      <c r="AJ122" s="199">
        <f t="shared" si="27"/>
        <v>0</v>
      </c>
    </row>
    <row r="123" spans="1:36" ht="21.75" customHeight="1" x14ac:dyDescent="0.25">
      <c r="A123" s="185" t="s">
        <v>912</v>
      </c>
      <c r="B123" s="185" t="s">
        <v>677</v>
      </c>
      <c r="C123" s="185" t="s">
        <v>499</v>
      </c>
      <c r="D123" s="186" t="s">
        <v>500</v>
      </c>
      <c r="E123" s="185" t="s">
        <v>509</v>
      </c>
      <c r="F123" s="187">
        <v>120</v>
      </c>
      <c r="G123" s="188" t="s">
        <v>761</v>
      </c>
      <c r="H123" s="189" t="s">
        <v>762</v>
      </c>
      <c r="I123" s="212" t="s">
        <v>946</v>
      </c>
      <c r="J123" s="201">
        <v>1</v>
      </c>
      <c r="K123" s="183"/>
      <c r="L123" s="189" t="s">
        <v>534</v>
      </c>
      <c r="M123" s="183" t="s">
        <v>636</v>
      </c>
      <c r="N123" s="189" t="s">
        <v>507</v>
      </c>
      <c r="O123" s="202" t="s">
        <v>554</v>
      </c>
      <c r="P123" s="203"/>
      <c r="Q123" s="192">
        <v>100</v>
      </c>
      <c r="R123" s="193">
        <v>4000</v>
      </c>
      <c r="S123" s="195"/>
      <c r="T123" s="194">
        <v>1</v>
      </c>
      <c r="U123" s="193">
        <v>4000</v>
      </c>
      <c r="V123" s="196">
        <f t="shared" si="14"/>
        <v>40360</v>
      </c>
      <c r="W123" s="197">
        <f t="shared" si="21"/>
        <v>162</v>
      </c>
      <c r="X123" s="197"/>
      <c r="Y123" s="198">
        <f t="shared" si="15"/>
        <v>1</v>
      </c>
      <c r="Z123" s="199">
        <f t="shared" si="22"/>
        <v>4000</v>
      </c>
      <c r="AA123" s="198">
        <f t="shared" si="16"/>
        <v>0</v>
      </c>
      <c r="AB123" s="199">
        <f t="shared" si="23"/>
        <v>0</v>
      </c>
      <c r="AC123" s="198">
        <f t="shared" si="17"/>
        <v>0</v>
      </c>
      <c r="AD123" s="199">
        <f t="shared" si="24"/>
        <v>0</v>
      </c>
      <c r="AE123" s="198">
        <f t="shared" si="18"/>
        <v>0</v>
      </c>
      <c r="AF123" s="199">
        <f t="shared" si="25"/>
        <v>0</v>
      </c>
      <c r="AG123" s="198">
        <f t="shared" si="19"/>
        <v>0</v>
      </c>
      <c r="AH123" s="199">
        <f t="shared" si="26"/>
        <v>0</v>
      </c>
      <c r="AI123" s="198">
        <f t="shared" si="20"/>
        <v>0</v>
      </c>
      <c r="AJ123" s="199">
        <f t="shared" si="27"/>
        <v>0</v>
      </c>
    </row>
    <row r="124" spans="1:36" ht="21.75" customHeight="1" x14ac:dyDescent="0.25">
      <c r="A124" s="185" t="s">
        <v>912</v>
      </c>
      <c r="B124" s="185" t="s">
        <v>677</v>
      </c>
      <c r="C124" s="185" t="s">
        <v>499</v>
      </c>
      <c r="D124" s="186" t="s">
        <v>500</v>
      </c>
      <c r="E124" s="185" t="s">
        <v>509</v>
      </c>
      <c r="F124" s="187">
        <v>121</v>
      </c>
      <c r="G124" s="188" t="s">
        <v>763</v>
      </c>
      <c r="H124" s="189" t="s">
        <v>764</v>
      </c>
      <c r="I124" s="212" t="s">
        <v>946</v>
      </c>
      <c r="J124" s="201">
        <v>1</v>
      </c>
      <c r="K124" s="183"/>
      <c r="L124" s="189" t="s">
        <v>534</v>
      </c>
      <c r="M124" s="183" t="s">
        <v>636</v>
      </c>
      <c r="N124" s="189" t="s">
        <v>507</v>
      </c>
      <c r="O124" s="202" t="s">
        <v>554</v>
      </c>
      <c r="P124" s="203"/>
      <c r="Q124" s="192">
        <v>100</v>
      </c>
      <c r="R124" s="193">
        <v>4000</v>
      </c>
      <c r="S124" s="195"/>
      <c r="T124" s="194">
        <v>1</v>
      </c>
      <c r="U124" s="193">
        <v>4000</v>
      </c>
      <c r="V124" s="196">
        <f t="shared" si="14"/>
        <v>40360</v>
      </c>
      <c r="W124" s="197">
        <f t="shared" si="21"/>
        <v>162</v>
      </c>
      <c r="X124" s="197"/>
      <c r="Y124" s="198">
        <f t="shared" si="15"/>
        <v>1</v>
      </c>
      <c r="Z124" s="199">
        <f t="shared" si="22"/>
        <v>4000</v>
      </c>
      <c r="AA124" s="198">
        <f t="shared" si="16"/>
        <v>0</v>
      </c>
      <c r="AB124" s="199">
        <f t="shared" si="23"/>
        <v>0</v>
      </c>
      <c r="AC124" s="198">
        <f t="shared" si="17"/>
        <v>0</v>
      </c>
      <c r="AD124" s="199">
        <f t="shared" si="24"/>
        <v>0</v>
      </c>
      <c r="AE124" s="198">
        <f t="shared" si="18"/>
        <v>0</v>
      </c>
      <c r="AF124" s="199">
        <f t="shared" si="25"/>
        <v>0</v>
      </c>
      <c r="AG124" s="198">
        <f t="shared" si="19"/>
        <v>0</v>
      </c>
      <c r="AH124" s="199">
        <f t="shared" si="26"/>
        <v>0</v>
      </c>
      <c r="AI124" s="198">
        <f t="shared" si="20"/>
        <v>0</v>
      </c>
      <c r="AJ124" s="199">
        <f t="shared" si="27"/>
        <v>0</v>
      </c>
    </row>
    <row r="125" spans="1:36" ht="21.75" customHeight="1" x14ac:dyDescent="0.25">
      <c r="A125" s="185" t="s">
        <v>912</v>
      </c>
      <c r="B125" s="185" t="s">
        <v>677</v>
      </c>
      <c r="C125" s="185" t="s">
        <v>499</v>
      </c>
      <c r="D125" s="186" t="s">
        <v>500</v>
      </c>
      <c r="E125" s="185" t="s">
        <v>509</v>
      </c>
      <c r="F125" s="187">
        <v>122</v>
      </c>
      <c r="G125" s="188" t="s">
        <v>765</v>
      </c>
      <c r="H125" s="189" t="s">
        <v>766</v>
      </c>
      <c r="I125" s="212" t="s">
        <v>946</v>
      </c>
      <c r="J125" s="201">
        <v>1</v>
      </c>
      <c r="K125" s="183"/>
      <c r="L125" s="189" t="s">
        <v>534</v>
      </c>
      <c r="M125" s="183" t="s">
        <v>636</v>
      </c>
      <c r="N125" s="189" t="s">
        <v>507</v>
      </c>
      <c r="O125" s="202" t="s">
        <v>554</v>
      </c>
      <c r="P125" s="203"/>
      <c r="Q125" s="192">
        <v>100</v>
      </c>
      <c r="R125" s="193">
        <v>3621</v>
      </c>
      <c r="S125" s="195"/>
      <c r="T125" s="194">
        <v>1</v>
      </c>
      <c r="U125" s="193">
        <v>3621</v>
      </c>
      <c r="V125" s="196">
        <f t="shared" si="14"/>
        <v>40360</v>
      </c>
      <c r="W125" s="197">
        <f t="shared" si="21"/>
        <v>162</v>
      </c>
      <c r="X125" s="197"/>
      <c r="Y125" s="198">
        <f t="shared" si="15"/>
        <v>1</v>
      </c>
      <c r="Z125" s="199">
        <f t="shared" si="22"/>
        <v>3621</v>
      </c>
      <c r="AA125" s="198">
        <f t="shared" si="16"/>
        <v>0</v>
      </c>
      <c r="AB125" s="199">
        <f t="shared" si="23"/>
        <v>0</v>
      </c>
      <c r="AC125" s="198">
        <f t="shared" si="17"/>
        <v>0</v>
      </c>
      <c r="AD125" s="199">
        <f t="shared" si="24"/>
        <v>0</v>
      </c>
      <c r="AE125" s="198">
        <f t="shared" si="18"/>
        <v>0</v>
      </c>
      <c r="AF125" s="199">
        <f t="shared" si="25"/>
        <v>0</v>
      </c>
      <c r="AG125" s="198">
        <f t="shared" si="19"/>
        <v>0</v>
      </c>
      <c r="AH125" s="199">
        <f t="shared" si="26"/>
        <v>0</v>
      </c>
      <c r="AI125" s="198">
        <f t="shared" si="20"/>
        <v>0</v>
      </c>
      <c r="AJ125" s="199">
        <f t="shared" si="27"/>
        <v>0</v>
      </c>
    </row>
    <row r="126" spans="1:36" ht="21.75" customHeight="1" x14ac:dyDescent="0.25">
      <c r="A126" s="185" t="s">
        <v>912</v>
      </c>
      <c r="B126" s="185" t="s">
        <v>677</v>
      </c>
      <c r="C126" s="185" t="s">
        <v>499</v>
      </c>
      <c r="D126" s="186" t="s">
        <v>500</v>
      </c>
      <c r="E126" s="185" t="s">
        <v>509</v>
      </c>
      <c r="F126" s="187">
        <v>123</v>
      </c>
      <c r="G126" s="188" t="s">
        <v>767</v>
      </c>
      <c r="H126" s="189" t="s">
        <v>768</v>
      </c>
      <c r="I126" s="212" t="s">
        <v>946</v>
      </c>
      <c r="J126" s="201">
        <v>1</v>
      </c>
      <c r="K126" s="183"/>
      <c r="L126" s="189" t="s">
        <v>534</v>
      </c>
      <c r="M126" s="183" t="s">
        <v>636</v>
      </c>
      <c r="N126" s="189" t="s">
        <v>507</v>
      </c>
      <c r="O126" s="202" t="s">
        <v>554</v>
      </c>
      <c r="P126" s="203"/>
      <c r="Q126" s="192">
        <v>100</v>
      </c>
      <c r="R126" s="193">
        <v>3620.99</v>
      </c>
      <c r="S126" s="195"/>
      <c r="T126" s="194">
        <v>1</v>
      </c>
      <c r="U126" s="193">
        <v>3620.99</v>
      </c>
      <c r="V126" s="196">
        <f t="shared" si="14"/>
        <v>40360</v>
      </c>
      <c r="W126" s="197">
        <f t="shared" si="21"/>
        <v>162</v>
      </c>
      <c r="X126" s="197"/>
      <c r="Y126" s="198">
        <f t="shared" si="15"/>
        <v>1</v>
      </c>
      <c r="Z126" s="199">
        <f t="shared" si="22"/>
        <v>3620.99</v>
      </c>
      <c r="AA126" s="198">
        <f t="shared" si="16"/>
        <v>0</v>
      </c>
      <c r="AB126" s="199">
        <f t="shared" si="23"/>
        <v>0</v>
      </c>
      <c r="AC126" s="198">
        <f t="shared" si="17"/>
        <v>0</v>
      </c>
      <c r="AD126" s="199">
        <f t="shared" si="24"/>
        <v>0</v>
      </c>
      <c r="AE126" s="198">
        <f t="shared" si="18"/>
        <v>0</v>
      </c>
      <c r="AF126" s="199">
        <f t="shared" si="25"/>
        <v>0</v>
      </c>
      <c r="AG126" s="198">
        <f t="shared" si="19"/>
        <v>0</v>
      </c>
      <c r="AH126" s="199">
        <f t="shared" si="26"/>
        <v>0</v>
      </c>
      <c r="AI126" s="198">
        <f t="shared" si="20"/>
        <v>0</v>
      </c>
      <c r="AJ126" s="199">
        <f t="shared" si="27"/>
        <v>0</v>
      </c>
    </row>
    <row r="127" spans="1:36" ht="21.75" customHeight="1" x14ac:dyDescent="0.25">
      <c r="A127" s="185" t="s">
        <v>912</v>
      </c>
      <c r="B127" s="185" t="s">
        <v>677</v>
      </c>
      <c r="C127" s="185" t="s">
        <v>499</v>
      </c>
      <c r="D127" s="186" t="s">
        <v>500</v>
      </c>
      <c r="E127" s="185" t="s">
        <v>509</v>
      </c>
      <c r="F127" s="187">
        <v>124</v>
      </c>
      <c r="G127" s="188" t="s">
        <v>769</v>
      </c>
      <c r="H127" s="189" t="s">
        <v>770</v>
      </c>
      <c r="I127" s="212" t="s">
        <v>946</v>
      </c>
      <c r="J127" s="201">
        <v>1</v>
      </c>
      <c r="K127" s="183"/>
      <c r="L127" s="189" t="s">
        <v>534</v>
      </c>
      <c r="M127" s="183" t="s">
        <v>636</v>
      </c>
      <c r="N127" s="189" t="s">
        <v>507</v>
      </c>
      <c r="O127" s="202" t="s">
        <v>554</v>
      </c>
      <c r="P127" s="203"/>
      <c r="Q127" s="192">
        <v>100</v>
      </c>
      <c r="R127" s="193">
        <v>3009</v>
      </c>
      <c r="S127" s="195"/>
      <c r="T127" s="194">
        <v>1</v>
      </c>
      <c r="U127" s="193">
        <v>3009</v>
      </c>
      <c r="V127" s="196">
        <f t="shared" si="14"/>
        <v>40360</v>
      </c>
      <c r="W127" s="197">
        <f t="shared" si="21"/>
        <v>162</v>
      </c>
      <c r="X127" s="197"/>
      <c r="Y127" s="198">
        <f t="shared" si="15"/>
        <v>1</v>
      </c>
      <c r="Z127" s="199">
        <f t="shared" si="22"/>
        <v>3009</v>
      </c>
      <c r="AA127" s="198">
        <f t="shared" si="16"/>
        <v>0</v>
      </c>
      <c r="AB127" s="199">
        <f t="shared" si="23"/>
        <v>0</v>
      </c>
      <c r="AC127" s="198">
        <f t="shared" si="17"/>
        <v>0</v>
      </c>
      <c r="AD127" s="199">
        <f t="shared" si="24"/>
        <v>0</v>
      </c>
      <c r="AE127" s="198">
        <f t="shared" si="18"/>
        <v>0</v>
      </c>
      <c r="AF127" s="199">
        <f t="shared" si="25"/>
        <v>0</v>
      </c>
      <c r="AG127" s="198">
        <f t="shared" si="19"/>
        <v>0</v>
      </c>
      <c r="AH127" s="199">
        <f t="shared" si="26"/>
        <v>0</v>
      </c>
      <c r="AI127" s="198">
        <f t="shared" si="20"/>
        <v>0</v>
      </c>
      <c r="AJ127" s="199">
        <f t="shared" si="27"/>
        <v>0</v>
      </c>
    </row>
    <row r="128" spans="1:36" ht="21.75" customHeight="1" x14ac:dyDescent="0.25">
      <c r="A128" s="185" t="s">
        <v>912</v>
      </c>
      <c r="B128" s="185" t="s">
        <v>677</v>
      </c>
      <c r="C128" s="185" t="s">
        <v>499</v>
      </c>
      <c r="D128" s="186" t="s">
        <v>500</v>
      </c>
      <c r="E128" s="185" t="s">
        <v>509</v>
      </c>
      <c r="F128" s="187">
        <v>125</v>
      </c>
      <c r="G128" s="188" t="s">
        <v>769</v>
      </c>
      <c r="H128" s="189" t="s">
        <v>771</v>
      </c>
      <c r="I128" s="212" t="s">
        <v>946</v>
      </c>
      <c r="J128" s="201">
        <v>1</v>
      </c>
      <c r="K128" s="183"/>
      <c r="L128" s="189" t="s">
        <v>534</v>
      </c>
      <c r="M128" s="183" t="s">
        <v>636</v>
      </c>
      <c r="N128" s="189" t="s">
        <v>507</v>
      </c>
      <c r="O128" s="202" t="s">
        <v>554</v>
      </c>
      <c r="P128" s="203"/>
      <c r="Q128" s="192">
        <v>100</v>
      </c>
      <c r="R128" s="193">
        <v>3009</v>
      </c>
      <c r="S128" s="195"/>
      <c r="T128" s="194">
        <v>1</v>
      </c>
      <c r="U128" s="193">
        <v>3009</v>
      </c>
      <c r="V128" s="196">
        <f t="shared" si="14"/>
        <v>40360</v>
      </c>
      <c r="W128" s="197">
        <f t="shared" si="21"/>
        <v>162</v>
      </c>
      <c r="X128" s="197"/>
      <c r="Y128" s="198">
        <f t="shared" si="15"/>
        <v>1</v>
      </c>
      <c r="Z128" s="199">
        <f t="shared" si="22"/>
        <v>3009</v>
      </c>
      <c r="AA128" s="198">
        <f t="shared" si="16"/>
        <v>0</v>
      </c>
      <c r="AB128" s="199">
        <f t="shared" si="23"/>
        <v>0</v>
      </c>
      <c r="AC128" s="198">
        <f t="shared" si="17"/>
        <v>0</v>
      </c>
      <c r="AD128" s="199">
        <f t="shared" si="24"/>
        <v>0</v>
      </c>
      <c r="AE128" s="198">
        <f t="shared" si="18"/>
        <v>0</v>
      </c>
      <c r="AF128" s="199">
        <f t="shared" si="25"/>
        <v>0</v>
      </c>
      <c r="AG128" s="198">
        <f t="shared" si="19"/>
        <v>0</v>
      </c>
      <c r="AH128" s="199">
        <f t="shared" si="26"/>
        <v>0</v>
      </c>
      <c r="AI128" s="198">
        <f t="shared" si="20"/>
        <v>0</v>
      </c>
      <c r="AJ128" s="199">
        <f t="shared" si="27"/>
        <v>0</v>
      </c>
    </row>
    <row r="129" spans="1:36" ht="21.75" customHeight="1" x14ac:dyDescent="0.25">
      <c r="A129" s="185" t="s">
        <v>912</v>
      </c>
      <c r="B129" s="185" t="s">
        <v>677</v>
      </c>
      <c r="C129" s="185" t="s">
        <v>499</v>
      </c>
      <c r="D129" s="186" t="s">
        <v>651</v>
      </c>
      <c r="E129" s="185" t="s">
        <v>509</v>
      </c>
      <c r="F129" s="187">
        <v>126</v>
      </c>
      <c r="G129" s="188" t="s">
        <v>772</v>
      </c>
      <c r="H129" s="189" t="s">
        <v>773</v>
      </c>
      <c r="I129" s="212" t="s">
        <v>946</v>
      </c>
      <c r="J129" s="183" t="s">
        <v>774</v>
      </c>
      <c r="K129" s="201">
        <v>3</v>
      </c>
      <c r="L129" s="189" t="s">
        <v>534</v>
      </c>
      <c r="M129" s="183" t="s">
        <v>775</v>
      </c>
      <c r="N129" s="189" t="s">
        <v>507</v>
      </c>
      <c r="O129" s="190">
        <v>2.778</v>
      </c>
      <c r="P129" s="191">
        <v>36</v>
      </c>
      <c r="Q129" s="192">
        <v>100</v>
      </c>
      <c r="R129" s="193">
        <v>30344</v>
      </c>
      <c r="S129" s="195"/>
      <c r="T129" s="194">
        <v>1</v>
      </c>
      <c r="U129" s="193">
        <v>30344</v>
      </c>
      <c r="V129" s="196">
        <f t="shared" si="14"/>
        <v>44197</v>
      </c>
      <c r="W129" s="197">
        <f t="shared" si="21"/>
        <v>36</v>
      </c>
      <c r="X129" s="197"/>
      <c r="Y129" s="198">
        <f t="shared" si="15"/>
        <v>0</v>
      </c>
      <c r="Z129" s="199">
        <f t="shared" si="22"/>
        <v>0</v>
      </c>
      <c r="AA129" s="198">
        <f t="shared" si="16"/>
        <v>0</v>
      </c>
      <c r="AB129" s="199">
        <f t="shared" si="23"/>
        <v>0</v>
      </c>
      <c r="AC129" s="198">
        <f t="shared" si="17"/>
        <v>0</v>
      </c>
      <c r="AD129" s="199">
        <f t="shared" si="24"/>
        <v>0</v>
      </c>
      <c r="AE129" s="198">
        <f t="shared" si="18"/>
        <v>0</v>
      </c>
      <c r="AF129" s="199">
        <f t="shared" si="25"/>
        <v>0</v>
      </c>
      <c r="AG129" s="198">
        <f t="shared" si="19"/>
        <v>1</v>
      </c>
      <c r="AH129" s="199">
        <f t="shared" si="26"/>
        <v>30344</v>
      </c>
      <c r="AI129" s="198">
        <f t="shared" si="20"/>
        <v>0</v>
      </c>
      <c r="AJ129" s="199">
        <f t="shared" si="27"/>
        <v>0</v>
      </c>
    </row>
    <row r="130" spans="1:36" ht="21.75" customHeight="1" x14ac:dyDescent="0.25">
      <c r="A130" s="185" t="s">
        <v>912</v>
      </c>
      <c r="B130" s="185" t="s">
        <v>776</v>
      </c>
      <c r="C130" s="185" t="s">
        <v>520</v>
      </c>
      <c r="D130" s="186" t="s">
        <v>500</v>
      </c>
      <c r="E130" s="185" t="s">
        <v>509</v>
      </c>
      <c r="F130" s="187">
        <v>127</v>
      </c>
      <c r="G130" s="188" t="s">
        <v>777</v>
      </c>
      <c r="H130" s="189" t="s">
        <v>778</v>
      </c>
      <c r="I130" s="212" t="s">
        <v>946</v>
      </c>
      <c r="J130" s="183" t="s">
        <v>779</v>
      </c>
      <c r="K130" s="201">
        <v>1</v>
      </c>
      <c r="L130" s="189" t="s">
        <v>534</v>
      </c>
      <c r="M130" s="183" t="s">
        <v>780</v>
      </c>
      <c r="N130" s="189" t="s">
        <v>507</v>
      </c>
      <c r="O130" s="190">
        <v>4.1669999999999998</v>
      </c>
      <c r="P130" s="191">
        <v>24</v>
      </c>
      <c r="Q130" s="192">
        <v>100</v>
      </c>
      <c r="R130" s="193">
        <v>14340</v>
      </c>
      <c r="S130" s="195"/>
      <c r="T130" s="194">
        <v>1</v>
      </c>
      <c r="U130" s="193">
        <v>14340</v>
      </c>
      <c r="V130" s="196">
        <f t="shared" si="14"/>
        <v>44470</v>
      </c>
      <c r="W130" s="197">
        <f t="shared" si="21"/>
        <v>27</v>
      </c>
      <c r="X130" s="197"/>
      <c r="Y130" s="198">
        <f t="shared" si="15"/>
        <v>0</v>
      </c>
      <c r="Z130" s="199">
        <f t="shared" si="22"/>
        <v>0</v>
      </c>
      <c r="AA130" s="198">
        <f t="shared" si="16"/>
        <v>0</v>
      </c>
      <c r="AB130" s="199">
        <f t="shared" si="23"/>
        <v>0</v>
      </c>
      <c r="AC130" s="198">
        <f t="shared" si="17"/>
        <v>0</v>
      </c>
      <c r="AD130" s="199">
        <f t="shared" si="24"/>
        <v>0</v>
      </c>
      <c r="AE130" s="198">
        <f t="shared" si="18"/>
        <v>0</v>
      </c>
      <c r="AF130" s="199">
        <f t="shared" si="25"/>
        <v>0</v>
      </c>
      <c r="AG130" s="198">
        <f t="shared" si="19"/>
        <v>1</v>
      </c>
      <c r="AH130" s="199">
        <f t="shared" si="26"/>
        <v>14340</v>
      </c>
      <c r="AI130" s="198">
        <f t="shared" si="20"/>
        <v>0</v>
      </c>
      <c r="AJ130" s="199">
        <f t="shared" si="27"/>
        <v>0</v>
      </c>
    </row>
    <row r="131" spans="1:36" ht="21.75" customHeight="1" x14ac:dyDescent="0.25">
      <c r="A131" s="185" t="s">
        <v>912</v>
      </c>
      <c r="B131" s="185" t="s">
        <v>776</v>
      </c>
      <c r="C131" s="185" t="s">
        <v>520</v>
      </c>
      <c r="D131" s="186" t="s">
        <v>500</v>
      </c>
      <c r="E131" s="185" t="s">
        <v>509</v>
      </c>
      <c r="F131" s="187">
        <v>128</v>
      </c>
      <c r="G131" s="188" t="s">
        <v>781</v>
      </c>
      <c r="H131" s="189" t="s">
        <v>782</v>
      </c>
      <c r="I131" s="212" t="s">
        <v>946</v>
      </c>
      <c r="J131" s="183"/>
      <c r="K131" s="183"/>
      <c r="L131" s="189" t="s">
        <v>534</v>
      </c>
      <c r="M131" s="183" t="s">
        <v>783</v>
      </c>
      <c r="N131" s="189" t="s">
        <v>507</v>
      </c>
      <c r="O131" s="202" t="s">
        <v>554</v>
      </c>
      <c r="P131" s="203"/>
      <c r="Q131" s="192">
        <v>100</v>
      </c>
      <c r="R131" s="193">
        <v>16672</v>
      </c>
      <c r="S131" s="195"/>
      <c r="T131" s="194">
        <v>1</v>
      </c>
      <c r="U131" s="193">
        <v>16672</v>
      </c>
      <c r="V131" s="196">
        <f t="shared" si="14"/>
        <v>44531</v>
      </c>
      <c r="W131" s="197">
        <f t="shared" si="21"/>
        <v>25</v>
      </c>
      <c r="X131" s="197"/>
      <c r="Y131" s="198">
        <f t="shared" si="15"/>
        <v>0</v>
      </c>
      <c r="Z131" s="199">
        <f t="shared" si="22"/>
        <v>0</v>
      </c>
      <c r="AA131" s="198">
        <f t="shared" si="16"/>
        <v>0</v>
      </c>
      <c r="AB131" s="199">
        <f t="shared" si="23"/>
        <v>0</v>
      </c>
      <c r="AC131" s="198">
        <f t="shared" si="17"/>
        <v>0</v>
      </c>
      <c r="AD131" s="199">
        <f t="shared" si="24"/>
        <v>0</v>
      </c>
      <c r="AE131" s="198">
        <f t="shared" si="18"/>
        <v>0</v>
      </c>
      <c r="AF131" s="199">
        <f t="shared" si="25"/>
        <v>0</v>
      </c>
      <c r="AG131" s="198">
        <f t="shared" si="19"/>
        <v>1</v>
      </c>
      <c r="AH131" s="199">
        <f t="shared" si="26"/>
        <v>16672</v>
      </c>
      <c r="AI131" s="198">
        <f t="shared" si="20"/>
        <v>0</v>
      </c>
      <c r="AJ131" s="199">
        <f t="shared" si="27"/>
        <v>0</v>
      </c>
    </row>
    <row r="132" spans="1:36" ht="21.75" customHeight="1" x14ac:dyDescent="0.25">
      <c r="A132" s="185" t="s">
        <v>912</v>
      </c>
      <c r="B132" s="185" t="s">
        <v>776</v>
      </c>
      <c r="C132" s="185" t="s">
        <v>520</v>
      </c>
      <c r="D132" s="186" t="s">
        <v>500</v>
      </c>
      <c r="E132" s="185" t="s">
        <v>509</v>
      </c>
      <c r="F132" s="187">
        <v>129</v>
      </c>
      <c r="G132" s="188" t="s">
        <v>784</v>
      </c>
      <c r="H132" s="189" t="s">
        <v>785</v>
      </c>
      <c r="I132" s="212" t="s">
        <v>946</v>
      </c>
      <c r="J132" s="183" t="s">
        <v>680</v>
      </c>
      <c r="K132" s="201">
        <v>6</v>
      </c>
      <c r="L132" s="189" t="s">
        <v>534</v>
      </c>
      <c r="M132" s="183" t="s">
        <v>786</v>
      </c>
      <c r="N132" s="189" t="s">
        <v>507</v>
      </c>
      <c r="O132" s="190">
        <v>0.55600000000000005</v>
      </c>
      <c r="P132" s="191">
        <v>180</v>
      </c>
      <c r="Q132" s="192">
        <v>100</v>
      </c>
      <c r="R132" s="193">
        <v>19045.84</v>
      </c>
      <c r="S132" s="195"/>
      <c r="T132" s="194">
        <v>1</v>
      </c>
      <c r="U132" s="193">
        <v>19045.84</v>
      </c>
      <c r="V132" s="196">
        <f t="shared" ref="V132:V195" si="28">IF((DATE(YEAR(M132),MONTH(M132)+1,1))=$V$2,"",DATE(YEAR(M132),MONTH(M132)+1,1))</f>
        <v>44593</v>
      </c>
      <c r="W132" s="197">
        <f t="shared" si="21"/>
        <v>23</v>
      </c>
      <c r="X132" s="197"/>
      <c r="Y132" s="198">
        <f t="shared" ref="Y132:Y195" si="29">IF(W132&gt;=121,T132,0)</f>
        <v>0</v>
      </c>
      <c r="Z132" s="199">
        <f t="shared" si="22"/>
        <v>0</v>
      </c>
      <c r="AA132" s="198">
        <f t="shared" ref="AA132:AA195" si="30">IF(W132&lt;=120,IF(W132&gt;=85,T132,0),0)</f>
        <v>0</v>
      </c>
      <c r="AB132" s="199">
        <f t="shared" si="23"/>
        <v>0</v>
      </c>
      <c r="AC132" s="198">
        <f t="shared" ref="AC132:AC195" si="31">IF(W132&lt;=84,IF(W132&gt;=61,T132,0),0)</f>
        <v>0</v>
      </c>
      <c r="AD132" s="199">
        <f t="shared" si="24"/>
        <v>0</v>
      </c>
      <c r="AE132" s="198">
        <f t="shared" ref="AE132:AE195" si="32">IF(W132&lt;=60,IF(W132&gt;=37,T132,0),0)</f>
        <v>0</v>
      </c>
      <c r="AF132" s="199">
        <f t="shared" si="25"/>
        <v>0</v>
      </c>
      <c r="AG132" s="198">
        <f t="shared" ref="AG132:AG195" si="33">IF(W132&lt;=36,IF(W132&gt;=13,T132,0),0)</f>
        <v>1</v>
      </c>
      <c r="AH132" s="199">
        <f t="shared" si="26"/>
        <v>19045.84</v>
      </c>
      <c r="AI132" s="198">
        <f t="shared" ref="AI132:AI195" si="34">IF(W132&lt;=12,T132,0)</f>
        <v>0</v>
      </c>
      <c r="AJ132" s="199">
        <f t="shared" si="27"/>
        <v>0</v>
      </c>
    </row>
    <row r="133" spans="1:36" ht="21.75" customHeight="1" x14ac:dyDescent="0.25">
      <c r="A133" s="185" t="s">
        <v>912</v>
      </c>
      <c r="B133" s="185" t="s">
        <v>776</v>
      </c>
      <c r="C133" s="185" t="s">
        <v>520</v>
      </c>
      <c r="D133" s="186" t="s">
        <v>500</v>
      </c>
      <c r="E133" s="185" t="s">
        <v>509</v>
      </c>
      <c r="F133" s="187">
        <v>130</v>
      </c>
      <c r="G133" s="188" t="s">
        <v>787</v>
      </c>
      <c r="H133" s="189" t="s">
        <v>788</v>
      </c>
      <c r="I133" s="212" t="s">
        <v>946</v>
      </c>
      <c r="J133" s="183" t="s">
        <v>680</v>
      </c>
      <c r="K133" s="201">
        <v>6</v>
      </c>
      <c r="L133" s="189" t="s">
        <v>534</v>
      </c>
      <c r="M133" s="183" t="s">
        <v>786</v>
      </c>
      <c r="N133" s="189" t="s">
        <v>507</v>
      </c>
      <c r="O133" s="190">
        <v>0.55600000000000005</v>
      </c>
      <c r="P133" s="191">
        <v>180</v>
      </c>
      <c r="Q133" s="192">
        <v>100</v>
      </c>
      <c r="R133" s="193">
        <v>15565.44</v>
      </c>
      <c r="S133" s="195"/>
      <c r="T133" s="194">
        <v>1</v>
      </c>
      <c r="U133" s="193">
        <v>15565.44</v>
      </c>
      <c r="V133" s="196">
        <f t="shared" si="28"/>
        <v>44593</v>
      </c>
      <c r="W133" s="197">
        <f t="shared" ref="W133:W196" si="35">IF(V133&gt;$W$2,0,DATEDIF(V133,$W$2,"m")+1)</f>
        <v>23</v>
      </c>
      <c r="X133" s="197"/>
      <c r="Y133" s="198">
        <f t="shared" si="29"/>
        <v>0</v>
      </c>
      <c r="Z133" s="199">
        <f t="shared" ref="Z133:Z196" si="36">IF(Y133=0,0,$R133)</f>
        <v>0</v>
      </c>
      <c r="AA133" s="198">
        <f t="shared" si="30"/>
        <v>0</v>
      </c>
      <c r="AB133" s="199">
        <f t="shared" ref="AB133:AB196" si="37">IF(AA133=0,0,$R133)</f>
        <v>0</v>
      </c>
      <c r="AC133" s="198">
        <f t="shared" si="31"/>
        <v>0</v>
      </c>
      <c r="AD133" s="199">
        <f t="shared" ref="AD133:AD196" si="38">IF(AC133=0,0,$R133)</f>
        <v>0</v>
      </c>
      <c r="AE133" s="198">
        <f t="shared" si="32"/>
        <v>0</v>
      </c>
      <c r="AF133" s="199">
        <f t="shared" ref="AF133:AF196" si="39">IF(AE133=0,0,$R133)</f>
        <v>0</v>
      </c>
      <c r="AG133" s="198">
        <f t="shared" si="33"/>
        <v>1</v>
      </c>
      <c r="AH133" s="199">
        <f t="shared" ref="AH133:AH196" si="40">IF(AG133=0,0,$R133)</f>
        <v>15565.44</v>
      </c>
      <c r="AI133" s="198">
        <f t="shared" si="34"/>
        <v>0</v>
      </c>
      <c r="AJ133" s="199">
        <f t="shared" ref="AJ133:AJ196" si="41">IF(AI133=0,0,$R133)</f>
        <v>0</v>
      </c>
    </row>
    <row r="134" spans="1:36" ht="21.75" customHeight="1" x14ac:dyDescent="0.25">
      <c r="A134" s="185" t="s">
        <v>912</v>
      </c>
      <c r="B134" s="185" t="s">
        <v>776</v>
      </c>
      <c r="C134" s="185" t="s">
        <v>520</v>
      </c>
      <c r="D134" s="186" t="s">
        <v>500</v>
      </c>
      <c r="E134" s="185" t="s">
        <v>509</v>
      </c>
      <c r="F134" s="187">
        <v>131</v>
      </c>
      <c r="G134" s="188" t="s">
        <v>789</v>
      </c>
      <c r="H134" s="189" t="s">
        <v>790</v>
      </c>
      <c r="I134" s="212" t="s">
        <v>946</v>
      </c>
      <c r="J134" s="183" t="s">
        <v>680</v>
      </c>
      <c r="K134" s="201">
        <v>6</v>
      </c>
      <c r="L134" s="189" t="s">
        <v>534</v>
      </c>
      <c r="M134" s="183" t="s">
        <v>786</v>
      </c>
      <c r="N134" s="189" t="s">
        <v>507</v>
      </c>
      <c r="O134" s="190">
        <v>0.55600000000000005</v>
      </c>
      <c r="P134" s="191">
        <v>180</v>
      </c>
      <c r="Q134" s="192">
        <v>100</v>
      </c>
      <c r="R134" s="193">
        <v>26984.32</v>
      </c>
      <c r="S134" s="195"/>
      <c r="T134" s="194">
        <v>1</v>
      </c>
      <c r="U134" s="193">
        <v>26984.32</v>
      </c>
      <c r="V134" s="196">
        <f t="shared" si="28"/>
        <v>44593</v>
      </c>
      <c r="W134" s="197">
        <f t="shared" si="35"/>
        <v>23</v>
      </c>
      <c r="X134" s="197"/>
      <c r="Y134" s="198">
        <f t="shared" si="29"/>
        <v>0</v>
      </c>
      <c r="Z134" s="199">
        <f t="shared" si="36"/>
        <v>0</v>
      </c>
      <c r="AA134" s="198">
        <f t="shared" si="30"/>
        <v>0</v>
      </c>
      <c r="AB134" s="199">
        <f t="shared" si="37"/>
        <v>0</v>
      </c>
      <c r="AC134" s="198">
        <f t="shared" si="31"/>
        <v>0</v>
      </c>
      <c r="AD134" s="199">
        <f t="shared" si="38"/>
        <v>0</v>
      </c>
      <c r="AE134" s="198">
        <f t="shared" si="32"/>
        <v>0</v>
      </c>
      <c r="AF134" s="199">
        <f t="shared" si="39"/>
        <v>0</v>
      </c>
      <c r="AG134" s="198">
        <f t="shared" si="33"/>
        <v>1</v>
      </c>
      <c r="AH134" s="199">
        <f t="shared" si="40"/>
        <v>26984.32</v>
      </c>
      <c r="AI134" s="198">
        <f t="shared" si="34"/>
        <v>0</v>
      </c>
      <c r="AJ134" s="199">
        <f t="shared" si="41"/>
        <v>0</v>
      </c>
    </row>
    <row r="135" spans="1:36" ht="21.75" customHeight="1" x14ac:dyDescent="0.25">
      <c r="A135" s="185" t="s">
        <v>912</v>
      </c>
      <c r="B135" s="185" t="s">
        <v>776</v>
      </c>
      <c r="C135" s="185" t="s">
        <v>520</v>
      </c>
      <c r="D135" s="186" t="s">
        <v>500</v>
      </c>
      <c r="E135" s="185" t="s">
        <v>509</v>
      </c>
      <c r="F135" s="187">
        <v>132</v>
      </c>
      <c r="G135" s="188" t="s">
        <v>791</v>
      </c>
      <c r="H135" s="189" t="s">
        <v>792</v>
      </c>
      <c r="I135" s="212" t="s">
        <v>946</v>
      </c>
      <c r="J135" s="183" t="s">
        <v>680</v>
      </c>
      <c r="K135" s="201">
        <v>6</v>
      </c>
      <c r="L135" s="189" t="s">
        <v>534</v>
      </c>
      <c r="M135" s="183" t="s">
        <v>786</v>
      </c>
      <c r="N135" s="189" t="s">
        <v>507</v>
      </c>
      <c r="O135" s="190">
        <v>0.55600000000000005</v>
      </c>
      <c r="P135" s="191">
        <v>180</v>
      </c>
      <c r="Q135" s="192">
        <v>100</v>
      </c>
      <c r="R135" s="193">
        <v>17983.68</v>
      </c>
      <c r="S135" s="195"/>
      <c r="T135" s="194">
        <v>1</v>
      </c>
      <c r="U135" s="193">
        <v>17983.68</v>
      </c>
      <c r="V135" s="196">
        <f t="shared" si="28"/>
        <v>44593</v>
      </c>
      <c r="W135" s="197">
        <f t="shared" si="35"/>
        <v>23</v>
      </c>
      <c r="X135" s="197"/>
      <c r="Y135" s="198">
        <f t="shared" si="29"/>
        <v>0</v>
      </c>
      <c r="Z135" s="199">
        <f t="shared" si="36"/>
        <v>0</v>
      </c>
      <c r="AA135" s="198">
        <f t="shared" si="30"/>
        <v>0</v>
      </c>
      <c r="AB135" s="199">
        <f t="shared" si="37"/>
        <v>0</v>
      </c>
      <c r="AC135" s="198">
        <f t="shared" si="31"/>
        <v>0</v>
      </c>
      <c r="AD135" s="199">
        <f t="shared" si="38"/>
        <v>0</v>
      </c>
      <c r="AE135" s="198">
        <f t="shared" si="32"/>
        <v>0</v>
      </c>
      <c r="AF135" s="199">
        <f t="shared" si="39"/>
        <v>0</v>
      </c>
      <c r="AG135" s="198">
        <f t="shared" si="33"/>
        <v>1</v>
      </c>
      <c r="AH135" s="199">
        <f t="shared" si="40"/>
        <v>17983.68</v>
      </c>
      <c r="AI135" s="198">
        <f t="shared" si="34"/>
        <v>0</v>
      </c>
      <c r="AJ135" s="199">
        <f t="shared" si="41"/>
        <v>0</v>
      </c>
    </row>
    <row r="136" spans="1:36" ht="21.75" customHeight="1" x14ac:dyDescent="0.25">
      <c r="A136" s="185" t="s">
        <v>912</v>
      </c>
      <c r="B136" s="185" t="s">
        <v>776</v>
      </c>
      <c r="C136" s="185" t="s">
        <v>520</v>
      </c>
      <c r="D136" s="186" t="s">
        <v>500</v>
      </c>
      <c r="E136" s="185" t="s">
        <v>509</v>
      </c>
      <c r="F136" s="187">
        <v>133</v>
      </c>
      <c r="G136" s="188" t="s">
        <v>793</v>
      </c>
      <c r="H136" s="189" t="s">
        <v>794</v>
      </c>
      <c r="I136" s="212" t="s">
        <v>946</v>
      </c>
      <c r="J136" s="183" t="s">
        <v>680</v>
      </c>
      <c r="K136" s="201">
        <v>6</v>
      </c>
      <c r="L136" s="189" t="s">
        <v>534</v>
      </c>
      <c r="M136" s="183" t="s">
        <v>786</v>
      </c>
      <c r="N136" s="189" t="s">
        <v>507</v>
      </c>
      <c r="O136" s="190">
        <v>0.55600000000000005</v>
      </c>
      <c r="P136" s="191">
        <v>180</v>
      </c>
      <c r="Q136" s="192">
        <v>100</v>
      </c>
      <c r="R136" s="193">
        <v>17284.96</v>
      </c>
      <c r="S136" s="195"/>
      <c r="T136" s="194">
        <v>1</v>
      </c>
      <c r="U136" s="193">
        <v>17284.96</v>
      </c>
      <c r="V136" s="196">
        <f t="shared" si="28"/>
        <v>44593</v>
      </c>
      <c r="W136" s="197">
        <f t="shared" si="35"/>
        <v>23</v>
      </c>
      <c r="X136" s="197"/>
      <c r="Y136" s="198">
        <f t="shared" si="29"/>
        <v>0</v>
      </c>
      <c r="Z136" s="199">
        <f t="shared" si="36"/>
        <v>0</v>
      </c>
      <c r="AA136" s="198">
        <f t="shared" si="30"/>
        <v>0</v>
      </c>
      <c r="AB136" s="199">
        <f t="shared" si="37"/>
        <v>0</v>
      </c>
      <c r="AC136" s="198">
        <f t="shared" si="31"/>
        <v>0</v>
      </c>
      <c r="AD136" s="199">
        <f t="shared" si="38"/>
        <v>0</v>
      </c>
      <c r="AE136" s="198">
        <f t="shared" si="32"/>
        <v>0</v>
      </c>
      <c r="AF136" s="199">
        <f t="shared" si="39"/>
        <v>0</v>
      </c>
      <c r="AG136" s="198">
        <f t="shared" si="33"/>
        <v>1</v>
      </c>
      <c r="AH136" s="199">
        <f t="shared" si="40"/>
        <v>17284.96</v>
      </c>
      <c r="AI136" s="198">
        <f t="shared" si="34"/>
        <v>0</v>
      </c>
      <c r="AJ136" s="199">
        <f t="shared" si="41"/>
        <v>0</v>
      </c>
    </row>
    <row r="137" spans="1:36" ht="21.75" customHeight="1" x14ac:dyDescent="0.25">
      <c r="A137" s="185" t="s">
        <v>912</v>
      </c>
      <c r="B137" s="185" t="s">
        <v>776</v>
      </c>
      <c r="C137" s="185" t="s">
        <v>520</v>
      </c>
      <c r="D137" s="186" t="s">
        <v>500</v>
      </c>
      <c r="E137" s="185" t="s">
        <v>509</v>
      </c>
      <c r="F137" s="187">
        <v>134</v>
      </c>
      <c r="G137" s="188" t="s">
        <v>795</v>
      </c>
      <c r="H137" s="189" t="s">
        <v>796</v>
      </c>
      <c r="I137" s="212" t="s">
        <v>946</v>
      </c>
      <c r="J137" s="183" t="s">
        <v>680</v>
      </c>
      <c r="K137" s="201">
        <v>6</v>
      </c>
      <c r="L137" s="189" t="s">
        <v>534</v>
      </c>
      <c r="M137" s="183" t="s">
        <v>786</v>
      </c>
      <c r="N137" s="189" t="s">
        <v>507</v>
      </c>
      <c r="O137" s="190">
        <v>0.55600000000000005</v>
      </c>
      <c r="P137" s="191">
        <v>180</v>
      </c>
      <c r="Q137" s="192">
        <v>100</v>
      </c>
      <c r="R137" s="193">
        <v>12173.92</v>
      </c>
      <c r="S137" s="195"/>
      <c r="T137" s="194">
        <v>1</v>
      </c>
      <c r="U137" s="193">
        <v>12173.92</v>
      </c>
      <c r="V137" s="196">
        <f t="shared" si="28"/>
        <v>44593</v>
      </c>
      <c r="W137" s="197">
        <f t="shared" si="35"/>
        <v>23</v>
      </c>
      <c r="X137" s="197"/>
      <c r="Y137" s="198">
        <f t="shared" si="29"/>
        <v>0</v>
      </c>
      <c r="Z137" s="199">
        <f t="shared" si="36"/>
        <v>0</v>
      </c>
      <c r="AA137" s="198">
        <f t="shared" si="30"/>
        <v>0</v>
      </c>
      <c r="AB137" s="199">
        <f t="shared" si="37"/>
        <v>0</v>
      </c>
      <c r="AC137" s="198">
        <f t="shared" si="31"/>
        <v>0</v>
      </c>
      <c r="AD137" s="199">
        <f t="shared" si="38"/>
        <v>0</v>
      </c>
      <c r="AE137" s="198">
        <f t="shared" si="32"/>
        <v>0</v>
      </c>
      <c r="AF137" s="199">
        <f t="shared" si="39"/>
        <v>0</v>
      </c>
      <c r="AG137" s="198">
        <f t="shared" si="33"/>
        <v>1</v>
      </c>
      <c r="AH137" s="199">
        <f t="shared" si="40"/>
        <v>12173.92</v>
      </c>
      <c r="AI137" s="198">
        <f t="shared" si="34"/>
        <v>0</v>
      </c>
      <c r="AJ137" s="199">
        <f t="shared" si="41"/>
        <v>0</v>
      </c>
    </row>
    <row r="138" spans="1:36" ht="21.75" customHeight="1" x14ac:dyDescent="0.25">
      <c r="A138" s="185" t="s">
        <v>912</v>
      </c>
      <c r="B138" s="185" t="s">
        <v>776</v>
      </c>
      <c r="C138" s="185" t="s">
        <v>520</v>
      </c>
      <c r="D138" s="186" t="s">
        <v>500</v>
      </c>
      <c r="E138" s="185" t="s">
        <v>509</v>
      </c>
      <c r="F138" s="187">
        <v>135</v>
      </c>
      <c r="G138" s="188" t="s">
        <v>797</v>
      </c>
      <c r="H138" s="189" t="s">
        <v>798</v>
      </c>
      <c r="I138" s="212" t="s">
        <v>946</v>
      </c>
      <c r="J138" s="183" t="s">
        <v>680</v>
      </c>
      <c r="K138" s="201">
        <v>6</v>
      </c>
      <c r="L138" s="189" t="s">
        <v>534</v>
      </c>
      <c r="M138" s="183" t="s">
        <v>799</v>
      </c>
      <c r="N138" s="189" t="s">
        <v>507</v>
      </c>
      <c r="O138" s="190">
        <v>0.55600000000000005</v>
      </c>
      <c r="P138" s="191">
        <v>180</v>
      </c>
      <c r="Q138" s="192">
        <v>100</v>
      </c>
      <c r="R138" s="193">
        <v>10256</v>
      </c>
      <c r="S138" s="195"/>
      <c r="T138" s="194">
        <v>1</v>
      </c>
      <c r="U138" s="193">
        <v>10256</v>
      </c>
      <c r="V138" s="196">
        <f t="shared" si="28"/>
        <v>44652</v>
      </c>
      <c r="W138" s="197">
        <f t="shared" si="35"/>
        <v>21</v>
      </c>
      <c r="X138" s="197"/>
      <c r="Y138" s="198">
        <f t="shared" si="29"/>
        <v>0</v>
      </c>
      <c r="Z138" s="199">
        <f t="shared" si="36"/>
        <v>0</v>
      </c>
      <c r="AA138" s="198">
        <f t="shared" si="30"/>
        <v>0</v>
      </c>
      <c r="AB138" s="199">
        <f t="shared" si="37"/>
        <v>0</v>
      </c>
      <c r="AC138" s="198">
        <f t="shared" si="31"/>
        <v>0</v>
      </c>
      <c r="AD138" s="199">
        <f t="shared" si="38"/>
        <v>0</v>
      </c>
      <c r="AE138" s="198">
        <f t="shared" si="32"/>
        <v>0</v>
      </c>
      <c r="AF138" s="199">
        <f t="shared" si="39"/>
        <v>0</v>
      </c>
      <c r="AG138" s="198">
        <f t="shared" si="33"/>
        <v>1</v>
      </c>
      <c r="AH138" s="199">
        <f t="shared" si="40"/>
        <v>10256</v>
      </c>
      <c r="AI138" s="198">
        <f t="shared" si="34"/>
        <v>0</v>
      </c>
      <c r="AJ138" s="199">
        <f t="shared" si="41"/>
        <v>0</v>
      </c>
    </row>
    <row r="139" spans="1:36" ht="21.75" customHeight="1" x14ac:dyDescent="0.25">
      <c r="A139" s="185" t="s">
        <v>912</v>
      </c>
      <c r="B139" s="185" t="s">
        <v>776</v>
      </c>
      <c r="C139" s="185" t="s">
        <v>520</v>
      </c>
      <c r="D139" s="186" t="s">
        <v>500</v>
      </c>
      <c r="E139" s="185" t="s">
        <v>509</v>
      </c>
      <c r="F139" s="187">
        <v>136</v>
      </c>
      <c r="G139" s="188" t="s">
        <v>800</v>
      </c>
      <c r="H139" s="189" t="s">
        <v>801</v>
      </c>
      <c r="I139" s="212" t="s">
        <v>946</v>
      </c>
      <c r="J139" s="183"/>
      <c r="K139" s="183"/>
      <c r="L139" s="189" t="s">
        <v>534</v>
      </c>
      <c r="M139" s="183" t="s">
        <v>802</v>
      </c>
      <c r="N139" s="189" t="s">
        <v>507</v>
      </c>
      <c r="O139" s="202" t="s">
        <v>554</v>
      </c>
      <c r="P139" s="203"/>
      <c r="Q139" s="192">
        <v>100</v>
      </c>
      <c r="R139" s="193">
        <v>23990</v>
      </c>
      <c r="S139" s="195"/>
      <c r="T139" s="194">
        <v>1</v>
      </c>
      <c r="U139" s="193">
        <v>23990</v>
      </c>
      <c r="V139" s="196">
        <f t="shared" si="28"/>
        <v>44713</v>
      </c>
      <c r="W139" s="197">
        <f t="shared" si="35"/>
        <v>19</v>
      </c>
      <c r="X139" s="197"/>
      <c r="Y139" s="198">
        <f t="shared" si="29"/>
        <v>0</v>
      </c>
      <c r="Z139" s="199">
        <f t="shared" si="36"/>
        <v>0</v>
      </c>
      <c r="AA139" s="198">
        <f t="shared" si="30"/>
        <v>0</v>
      </c>
      <c r="AB139" s="199">
        <f t="shared" si="37"/>
        <v>0</v>
      </c>
      <c r="AC139" s="198">
        <f t="shared" si="31"/>
        <v>0</v>
      </c>
      <c r="AD139" s="199">
        <f t="shared" si="38"/>
        <v>0</v>
      </c>
      <c r="AE139" s="198">
        <f t="shared" si="32"/>
        <v>0</v>
      </c>
      <c r="AF139" s="199">
        <f t="shared" si="39"/>
        <v>0</v>
      </c>
      <c r="AG139" s="198">
        <f t="shared" si="33"/>
        <v>1</v>
      </c>
      <c r="AH139" s="199">
        <f t="shared" si="40"/>
        <v>23990</v>
      </c>
      <c r="AI139" s="198">
        <f t="shared" si="34"/>
        <v>0</v>
      </c>
      <c r="AJ139" s="199">
        <f t="shared" si="41"/>
        <v>0</v>
      </c>
    </row>
    <row r="140" spans="1:36" ht="21.75" customHeight="1" x14ac:dyDescent="0.25">
      <c r="A140" s="185" t="s">
        <v>912</v>
      </c>
      <c r="B140" s="185" t="s">
        <v>776</v>
      </c>
      <c r="C140" s="185" t="s">
        <v>520</v>
      </c>
      <c r="D140" s="186" t="s">
        <v>500</v>
      </c>
      <c r="E140" s="185" t="s">
        <v>509</v>
      </c>
      <c r="F140" s="187">
        <v>137</v>
      </c>
      <c r="G140" s="188" t="s">
        <v>803</v>
      </c>
      <c r="H140" s="189" t="s">
        <v>804</v>
      </c>
      <c r="I140" s="212" t="s">
        <v>946</v>
      </c>
      <c r="J140" s="183"/>
      <c r="K140" s="183"/>
      <c r="L140" s="189" t="s">
        <v>534</v>
      </c>
      <c r="M140" s="183" t="s">
        <v>805</v>
      </c>
      <c r="N140" s="189" t="s">
        <v>507</v>
      </c>
      <c r="O140" s="202" t="s">
        <v>554</v>
      </c>
      <c r="P140" s="203"/>
      <c r="Q140" s="192">
        <v>100</v>
      </c>
      <c r="R140" s="193">
        <v>6299.76</v>
      </c>
      <c r="S140" s="195"/>
      <c r="T140" s="194">
        <v>1</v>
      </c>
      <c r="U140" s="193">
        <v>6299.76</v>
      </c>
      <c r="V140" s="196">
        <f t="shared" si="28"/>
        <v>41974</v>
      </c>
      <c r="W140" s="197">
        <f t="shared" si="35"/>
        <v>109</v>
      </c>
      <c r="X140" s="197"/>
      <c r="Y140" s="198">
        <f t="shared" si="29"/>
        <v>0</v>
      </c>
      <c r="Z140" s="199">
        <f t="shared" si="36"/>
        <v>0</v>
      </c>
      <c r="AA140" s="198">
        <f t="shared" si="30"/>
        <v>1</v>
      </c>
      <c r="AB140" s="199">
        <f t="shared" si="37"/>
        <v>6299.76</v>
      </c>
      <c r="AC140" s="198">
        <f t="shared" si="31"/>
        <v>0</v>
      </c>
      <c r="AD140" s="199">
        <f t="shared" si="38"/>
        <v>0</v>
      </c>
      <c r="AE140" s="198">
        <f t="shared" si="32"/>
        <v>0</v>
      </c>
      <c r="AF140" s="199">
        <f t="shared" si="39"/>
        <v>0</v>
      </c>
      <c r="AG140" s="198">
        <f t="shared" si="33"/>
        <v>0</v>
      </c>
      <c r="AH140" s="199">
        <f t="shared" si="40"/>
        <v>0</v>
      </c>
      <c r="AI140" s="198">
        <f t="shared" si="34"/>
        <v>0</v>
      </c>
      <c r="AJ140" s="199">
        <f t="shared" si="41"/>
        <v>0</v>
      </c>
    </row>
    <row r="141" spans="1:36" ht="21.75" customHeight="1" x14ac:dyDescent="0.25">
      <c r="A141" s="185" t="s">
        <v>912</v>
      </c>
      <c r="B141" s="185" t="s">
        <v>776</v>
      </c>
      <c r="C141" s="185" t="s">
        <v>520</v>
      </c>
      <c r="D141" s="186" t="s">
        <v>500</v>
      </c>
      <c r="E141" s="185" t="s">
        <v>509</v>
      </c>
      <c r="F141" s="187">
        <v>138</v>
      </c>
      <c r="G141" s="188" t="s">
        <v>806</v>
      </c>
      <c r="H141" s="189" t="s">
        <v>807</v>
      </c>
      <c r="I141" s="212" t="s">
        <v>946</v>
      </c>
      <c r="J141" s="183" t="s">
        <v>808</v>
      </c>
      <c r="K141" s="201">
        <v>4</v>
      </c>
      <c r="L141" s="189" t="s">
        <v>534</v>
      </c>
      <c r="M141" s="183" t="s">
        <v>809</v>
      </c>
      <c r="N141" s="189" t="s">
        <v>507</v>
      </c>
      <c r="O141" s="190">
        <v>1.19</v>
      </c>
      <c r="P141" s="191">
        <v>84</v>
      </c>
      <c r="Q141" s="192">
        <v>100</v>
      </c>
      <c r="R141" s="193">
        <v>22500</v>
      </c>
      <c r="S141" s="195"/>
      <c r="T141" s="194">
        <v>1</v>
      </c>
      <c r="U141" s="193">
        <v>22500</v>
      </c>
      <c r="V141" s="196">
        <f t="shared" si="28"/>
        <v>43800</v>
      </c>
      <c r="W141" s="197">
        <f t="shared" si="35"/>
        <v>49</v>
      </c>
      <c r="X141" s="197"/>
      <c r="Y141" s="198">
        <f t="shared" si="29"/>
        <v>0</v>
      </c>
      <c r="Z141" s="199">
        <f t="shared" si="36"/>
        <v>0</v>
      </c>
      <c r="AA141" s="198">
        <f t="shared" si="30"/>
        <v>0</v>
      </c>
      <c r="AB141" s="199">
        <f t="shared" si="37"/>
        <v>0</v>
      </c>
      <c r="AC141" s="198">
        <f t="shared" si="31"/>
        <v>0</v>
      </c>
      <c r="AD141" s="199">
        <f t="shared" si="38"/>
        <v>0</v>
      </c>
      <c r="AE141" s="198">
        <f t="shared" si="32"/>
        <v>1</v>
      </c>
      <c r="AF141" s="199">
        <f t="shared" si="39"/>
        <v>22500</v>
      </c>
      <c r="AG141" s="198">
        <f t="shared" si="33"/>
        <v>0</v>
      </c>
      <c r="AH141" s="199">
        <f t="shared" si="40"/>
        <v>0</v>
      </c>
      <c r="AI141" s="198">
        <f t="shared" si="34"/>
        <v>0</v>
      </c>
      <c r="AJ141" s="199">
        <f t="shared" si="41"/>
        <v>0</v>
      </c>
    </row>
    <row r="142" spans="1:36" ht="21.75" customHeight="1" x14ac:dyDescent="0.25">
      <c r="A142" s="185" t="s">
        <v>912</v>
      </c>
      <c r="B142" s="185" t="s">
        <v>776</v>
      </c>
      <c r="C142" s="185" t="s">
        <v>499</v>
      </c>
      <c r="D142" s="186" t="s">
        <v>810</v>
      </c>
      <c r="E142" s="185" t="s">
        <v>509</v>
      </c>
      <c r="F142" s="187">
        <v>139</v>
      </c>
      <c r="G142" s="188" t="s">
        <v>811</v>
      </c>
      <c r="H142" s="189" t="s">
        <v>815</v>
      </c>
      <c r="I142" s="212" t="s">
        <v>946</v>
      </c>
      <c r="J142" s="183"/>
      <c r="K142" s="183"/>
      <c r="L142" s="189" t="s">
        <v>534</v>
      </c>
      <c r="M142" s="183" t="s">
        <v>813</v>
      </c>
      <c r="N142" s="189" t="s">
        <v>507</v>
      </c>
      <c r="O142" s="190">
        <v>8.3330000000000002</v>
      </c>
      <c r="P142" s="191">
        <v>12</v>
      </c>
      <c r="Q142" s="192">
        <v>100</v>
      </c>
      <c r="R142" s="193">
        <v>11762</v>
      </c>
      <c r="S142" s="195"/>
      <c r="T142" s="194">
        <v>1</v>
      </c>
      <c r="U142" s="193">
        <v>11762</v>
      </c>
      <c r="V142" s="196">
        <f t="shared" si="28"/>
        <v>44562</v>
      </c>
      <c r="W142" s="197">
        <f t="shared" si="35"/>
        <v>24</v>
      </c>
      <c r="X142" s="197"/>
      <c r="Y142" s="198">
        <f t="shared" si="29"/>
        <v>0</v>
      </c>
      <c r="Z142" s="199">
        <f t="shared" si="36"/>
        <v>0</v>
      </c>
      <c r="AA142" s="198">
        <f t="shared" si="30"/>
        <v>0</v>
      </c>
      <c r="AB142" s="199">
        <f t="shared" si="37"/>
        <v>0</v>
      </c>
      <c r="AC142" s="198">
        <f t="shared" si="31"/>
        <v>0</v>
      </c>
      <c r="AD142" s="199">
        <f t="shared" si="38"/>
        <v>0</v>
      </c>
      <c r="AE142" s="198">
        <f t="shared" si="32"/>
        <v>0</v>
      </c>
      <c r="AF142" s="199">
        <f t="shared" si="39"/>
        <v>0</v>
      </c>
      <c r="AG142" s="198">
        <f t="shared" si="33"/>
        <v>1</v>
      </c>
      <c r="AH142" s="199">
        <f t="shared" si="40"/>
        <v>11762</v>
      </c>
      <c r="AI142" s="198">
        <f t="shared" si="34"/>
        <v>0</v>
      </c>
      <c r="AJ142" s="199">
        <f t="shared" si="41"/>
        <v>0</v>
      </c>
    </row>
    <row r="143" spans="1:36" ht="21.75" customHeight="1" x14ac:dyDescent="0.25">
      <c r="A143" s="185" t="s">
        <v>912</v>
      </c>
      <c r="B143" s="185" t="s">
        <v>776</v>
      </c>
      <c r="C143" s="185" t="s">
        <v>499</v>
      </c>
      <c r="D143" s="186" t="s">
        <v>810</v>
      </c>
      <c r="E143" s="185" t="s">
        <v>509</v>
      </c>
      <c r="F143" s="187">
        <v>140</v>
      </c>
      <c r="G143" s="188" t="s">
        <v>811</v>
      </c>
      <c r="H143" s="189" t="s">
        <v>817</v>
      </c>
      <c r="I143" s="212" t="s">
        <v>946</v>
      </c>
      <c r="J143" s="183"/>
      <c r="K143" s="183"/>
      <c r="L143" s="189" t="s">
        <v>534</v>
      </c>
      <c r="M143" s="183" t="s">
        <v>813</v>
      </c>
      <c r="N143" s="189" t="s">
        <v>507</v>
      </c>
      <c r="O143" s="190">
        <v>8.3330000000000002</v>
      </c>
      <c r="P143" s="191">
        <v>12</v>
      </c>
      <c r="Q143" s="192">
        <v>100</v>
      </c>
      <c r="R143" s="193">
        <v>11762</v>
      </c>
      <c r="S143" s="195"/>
      <c r="T143" s="194">
        <v>1</v>
      </c>
      <c r="U143" s="193">
        <v>11762</v>
      </c>
      <c r="V143" s="196">
        <f t="shared" si="28"/>
        <v>44562</v>
      </c>
      <c r="W143" s="197">
        <f t="shared" si="35"/>
        <v>24</v>
      </c>
      <c r="X143" s="197"/>
      <c r="Y143" s="198">
        <f t="shared" si="29"/>
        <v>0</v>
      </c>
      <c r="Z143" s="199">
        <f t="shared" si="36"/>
        <v>0</v>
      </c>
      <c r="AA143" s="198">
        <f t="shared" si="30"/>
        <v>0</v>
      </c>
      <c r="AB143" s="199">
        <f t="shared" si="37"/>
        <v>0</v>
      </c>
      <c r="AC143" s="198">
        <f t="shared" si="31"/>
        <v>0</v>
      </c>
      <c r="AD143" s="199">
        <f t="shared" si="38"/>
        <v>0</v>
      </c>
      <c r="AE143" s="198">
        <f t="shared" si="32"/>
        <v>0</v>
      </c>
      <c r="AF143" s="199">
        <f t="shared" si="39"/>
        <v>0</v>
      </c>
      <c r="AG143" s="198">
        <f t="shared" si="33"/>
        <v>1</v>
      </c>
      <c r="AH143" s="199">
        <f t="shared" si="40"/>
        <v>11762</v>
      </c>
      <c r="AI143" s="198">
        <f t="shared" si="34"/>
        <v>0</v>
      </c>
      <c r="AJ143" s="199">
        <f t="shared" si="41"/>
        <v>0</v>
      </c>
    </row>
    <row r="144" spans="1:36" ht="21.75" customHeight="1" x14ac:dyDescent="0.25">
      <c r="A144" s="185" t="s">
        <v>912</v>
      </c>
      <c r="B144" s="185" t="s">
        <v>776</v>
      </c>
      <c r="C144" s="185" t="s">
        <v>499</v>
      </c>
      <c r="D144" s="186" t="s">
        <v>810</v>
      </c>
      <c r="E144" s="185" t="s">
        <v>509</v>
      </c>
      <c r="F144" s="187">
        <v>141</v>
      </c>
      <c r="G144" s="188" t="s">
        <v>811</v>
      </c>
      <c r="H144" s="189" t="s">
        <v>812</v>
      </c>
      <c r="I144" s="212" t="s">
        <v>946</v>
      </c>
      <c r="J144" s="183"/>
      <c r="K144" s="183"/>
      <c r="L144" s="189" t="s">
        <v>534</v>
      </c>
      <c r="M144" s="183" t="s">
        <v>813</v>
      </c>
      <c r="N144" s="189" t="s">
        <v>507</v>
      </c>
      <c r="O144" s="190">
        <v>8.3330000000000002</v>
      </c>
      <c r="P144" s="191">
        <v>12</v>
      </c>
      <c r="Q144" s="192">
        <v>100</v>
      </c>
      <c r="R144" s="193">
        <v>11762</v>
      </c>
      <c r="S144" s="195"/>
      <c r="T144" s="194">
        <v>1</v>
      </c>
      <c r="U144" s="193">
        <v>11762</v>
      </c>
      <c r="V144" s="196">
        <f t="shared" si="28"/>
        <v>44562</v>
      </c>
      <c r="W144" s="197">
        <f t="shared" si="35"/>
        <v>24</v>
      </c>
      <c r="X144" s="197"/>
      <c r="Y144" s="198">
        <f t="shared" si="29"/>
        <v>0</v>
      </c>
      <c r="Z144" s="199">
        <f t="shared" si="36"/>
        <v>0</v>
      </c>
      <c r="AA144" s="198">
        <f t="shared" si="30"/>
        <v>0</v>
      </c>
      <c r="AB144" s="199">
        <f t="shared" si="37"/>
        <v>0</v>
      </c>
      <c r="AC144" s="198">
        <f t="shared" si="31"/>
        <v>0</v>
      </c>
      <c r="AD144" s="199">
        <f t="shared" si="38"/>
        <v>0</v>
      </c>
      <c r="AE144" s="198">
        <f t="shared" si="32"/>
        <v>0</v>
      </c>
      <c r="AF144" s="199">
        <f t="shared" si="39"/>
        <v>0</v>
      </c>
      <c r="AG144" s="198">
        <f t="shared" si="33"/>
        <v>1</v>
      </c>
      <c r="AH144" s="199">
        <f t="shared" si="40"/>
        <v>11762</v>
      </c>
      <c r="AI144" s="198">
        <f t="shared" si="34"/>
        <v>0</v>
      </c>
      <c r="AJ144" s="199">
        <f t="shared" si="41"/>
        <v>0</v>
      </c>
    </row>
    <row r="145" spans="1:36" ht="21.75" customHeight="1" x14ac:dyDescent="0.25">
      <c r="A145" s="185" t="s">
        <v>912</v>
      </c>
      <c r="B145" s="185" t="s">
        <v>776</v>
      </c>
      <c r="C145" s="185" t="s">
        <v>499</v>
      </c>
      <c r="D145" s="186" t="s">
        <v>810</v>
      </c>
      <c r="E145" s="185" t="s">
        <v>509</v>
      </c>
      <c r="F145" s="187">
        <v>142</v>
      </c>
      <c r="G145" s="188" t="s">
        <v>811</v>
      </c>
      <c r="H145" s="189" t="s">
        <v>814</v>
      </c>
      <c r="I145" s="212" t="s">
        <v>946</v>
      </c>
      <c r="J145" s="183"/>
      <c r="K145" s="183"/>
      <c r="L145" s="189" t="s">
        <v>534</v>
      </c>
      <c r="M145" s="183" t="s">
        <v>813</v>
      </c>
      <c r="N145" s="189" t="s">
        <v>507</v>
      </c>
      <c r="O145" s="190">
        <v>8.3330000000000002</v>
      </c>
      <c r="P145" s="191">
        <v>12</v>
      </c>
      <c r="Q145" s="192">
        <v>100</v>
      </c>
      <c r="R145" s="193">
        <v>11762</v>
      </c>
      <c r="S145" s="195"/>
      <c r="T145" s="194">
        <v>1</v>
      </c>
      <c r="U145" s="193">
        <v>11762</v>
      </c>
      <c r="V145" s="196">
        <f t="shared" si="28"/>
        <v>44562</v>
      </c>
      <c r="W145" s="197">
        <f t="shared" si="35"/>
        <v>24</v>
      </c>
      <c r="X145" s="197"/>
      <c r="Y145" s="198">
        <f t="shared" si="29"/>
        <v>0</v>
      </c>
      <c r="Z145" s="199">
        <f t="shared" si="36"/>
        <v>0</v>
      </c>
      <c r="AA145" s="198">
        <f t="shared" si="30"/>
        <v>0</v>
      </c>
      <c r="AB145" s="199">
        <f t="shared" si="37"/>
        <v>0</v>
      </c>
      <c r="AC145" s="198">
        <f t="shared" si="31"/>
        <v>0</v>
      </c>
      <c r="AD145" s="199">
        <f t="shared" si="38"/>
        <v>0</v>
      </c>
      <c r="AE145" s="198">
        <f t="shared" si="32"/>
        <v>0</v>
      </c>
      <c r="AF145" s="199">
        <f t="shared" si="39"/>
        <v>0</v>
      </c>
      <c r="AG145" s="198">
        <f t="shared" si="33"/>
        <v>1</v>
      </c>
      <c r="AH145" s="199">
        <f t="shared" si="40"/>
        <v>11762</v>
      </c>
      <c r="AI145" s="198">
        <f t="shared" si="34"/>
        <v>0</v>
      </c>
      <c r="AJ145" s="199">
        <f t="shared" si="41"/>
        <v>0</v>
      </c>
    </row>
    <row r="146" spans="1:36" ht="21.75" customHeight="1" x14ac:dyDescent="0.25">
      <c r="A146" s="185" t="s">
        <v>912</v>
      </c>
      <c r="B146" s="185" t="s">
        <v>776</v>
      </c>
      <c r="C146" s="185" t="s">
        <v>499</v>
      </c>
      <c r="D146" s="186" t="s">
        <v>810</v>
      </c>
      <c r="E146" s="185" t="s">
        <v>509</v>
      </c>
      <c r="F146" s="187">
        <v>143</v>
      </c>
      <c r="G146" s="188" t="s">
        <v>811</v>
      </c>
      <c r="H146" s="189" t="s">
        <v>816</v>
      </c>
      <c r="I146" s="212" t="s">
        <v>946</v>
      </c>
      <c r="J146" s="183"/>
      <c r="K146" s="183"/>
      <c r="L146" s="189" t="s">
        <v>534</v>
      </c>
      <c r="M146" s="183" t="s">
        <v>813</v>
      </c>
      <c r="N146" s="189" t="s">
        <v>507</v>
      </c>
      <c r="O146" s="190">
        <v>8.3330000000000002</v>
      </c>
      <c r="P146" s="191">
        <v>12</v>
      </c>
      <c r="Q146" s="192">
        <v>100</v>
      </c>
      <c r="R146" s="193">
        <v>11762</v>
      </c>
      <c r="S146" s="195"/>
      <c r="T146" s="194">
        <v>1</v>
      </c>
      <c r="U146" s="193">
        <v>11762</v>
      </c>
      <c r="V146" s="196">
        <f t="shared" si="28"/>
        <v>44562</v>
      </c>
      <c r="W146" s="197">
        <f t="shared" si="35"/>
        <v>24</v>
      </c>
      <c r="X146" s="197"/>
      <c r="Y146" s="198">
        <f t="shared" si="29"/>
        <v>0</v>
      </c>
      <c r="Z146" s="199">
        <f t="shared" si="36"/>
        <v>0</v>
      </c>
      <c r="AA146" s="198">
        <f t="shared" si="30"/>
        <v>0</v>
      </c>
      <c r="AB146" s="199">
        <f t="shared" si="37"/>
        <v>0</v>
      </c>
      <c r="AC146" s="198">
        <f t="shared" si="31"/>
        <v>0</v>
      </c>
      <c r="AD146" s="199">
        <f t="shared" si="38"/>
        <v>0</v>
      </c>
      <c r="AE146" s="198">
        <f t="shared" si="32"/>
        <v>0</v>
      </c>
      <c r="AF146" s="199">
        <f t="shared" si="39"/>
        <v>0</v>
      </c>
      <c r="AG146" s="198">
        <f t="shared" si="33"/>
        <v>1</v>
      </c>
      <c r="AH146" s="199">
        <f t="shared" si="40"/>
        <v>11762</v>
      </c>
      <c r="AI146" s="198">
        <f t="shared" si="34"/>
        <v>0</v>
      </c>
      <c r="AJ146" s="199">
        <f t="shared" si="41"/>
        <v>0</v>
      </c>
    </row>
    <row r="147" spans="1:36" ht="21.75" customHeight="1" x14ac:dyDescent="0.25">
      <c r="A147" s="185" t="s">
        <v>912</v>
      </c>
      <c r="B147" s="185" t="s">
        <v>776</v>
      </c>
      <c r="C147" s="185" t="s">
        <v>499</v>
      </c>
      <c r="D147" s="186" t="s">
        <v>810</v>
      </c>
      <c r="E147" s="185" t="s">
        <v>509</v>
      </c>
      <c r="F147" s="187">
        <v>144</v>
      </c>
      <c r="G147" s="188" t="s">
        <v>1111</v>
      </c>
      <c r="H147" s="189" t="s">
        <v>1112</v>
      </c>
      <c r="I147" s="212" t="s">
        <v>946</v>
      </c>
      <c r="J147" s="183"/>
      <c r="K147" s="183"/>
      <c r="L147" s="189" t="s">
        <v>534</v>
      </c>
      <c r="M147" s="183" t="s">
        <v>1113</v>
      </c>
      <c r="N147" s="189" t="s">
        <v>507</v>
      </c>
      <c r="O147" s="202" t="s">
        <v>554</v>
      </c>
      <c r="P147" s="203"/>
      <c r="Q147" s="192">
        <v>100</v>
      </c>
      <c r="R147" s="193">
        <v>46100</v>
      </c>
      <c r="S147" s="195"/>
      <c r="T147" s="194">
        <v>1</v>
      </c>
      <c r="U147" s="193">
        <v>46100</v>
      </c>
      <c r="V147" s="196">
        <f t="shared" si="28"/>
        <v>45292</v>
      </c>
      <c r="W147" s="197">
        <f t="shared" si="35"/>
        <v>0</v>
      </c>
      <c r="X147" s="197"/>
      <c r="Y147" s="198">
        <f t="shared" si="29"/>
        <v>0</v>
      </c>
      <c r="Z147" s="199">
        <f t="shared" si="36"/>
        <v>0</v>
      </c>
      <c r="AA147" s="198">
        <f t="shared" si="30"/>
        <v>0</v>
      </c>
      <c r="AB147" s="199">
        <f t="shared" si="37"/>
        <v>0</v>
      </c>
      <c r="AC147" s="198">
        <f t="shared" si="31"/>
        <v>0</v>
      </c>
      <c r="AD147" s="199">
        <f t="shared" si="38"/>
        <v>0</v>
      </c>
      <c r="AE147" s="198">
        <f t="shared" si="32"/>
        <v>0</v>
      </c>
      <c r="AF147" s="199">
        <f t="shared" si="39"/>
        <v>0</v>
      </c>
      <c r="AG147" s="198">
        <f t="shared" si="33"/>
        <v>0</v>
      </c>
      <c r="AH147" s="199">
        <f t="shared" si="40"/>
        <v>0</v>
      </c>
      <c r="AI147" s="198">
        <f t="shared" si="34"/>
        <v>1</v>
      </c>
      <c r="AJ147" s="199">
        <f t="shared" si="41"/>
        <v>46100</v>
      </c>
    </row>
    <row r="148" spans="1:36" ht="21.75" customHeight="1" x14ac:dyDescent="0.25">
      <c r="A148" s="185" t="s">
        <v>912</v>
      </c>
      <c r="B148" s="185" t="s">
        <v>776</v>
      </c>
      <c r="C148" s="185" t="s">
        <v>499</v>
      </c>
      <c r="D148" s="186" t="s">
        <v>810</v>
      </c>
      <c r="E148" s="185" t="s">
        <v>509</v>
      </c>
      <c r="F148" s="187">
        <v>145</v>
      </c>
      <c r="G148" s="188" t="s">
        <v>1111</v>
      </c>
      <c r="H148" s="189" t="s">
        <v>1114</v>
      </c>
      <c r="I148" s="212" t="s">
        <v>946</v>
      </c>
      <c r="J148" s="183"/>
      <c r="K148" s="183"/>
      <c r="L148" s="189" t="s">
        <v>534</v>
      </c>
      <c r="M148" s="183" t="s">
        <v>1113</v>
      </c>
      <c r="N148" s="189" t="s">
        <v>507</v>
      </c>
      <c r="O148" s="202" t="s">
        <v>554</v>
      </c>
      <c r="P148" s="203"/>
      <c r="Q148" s="192">
        <v>100</v>
      </c>
      <c r="R148" s="193">
        <v>46100</v>
      </c>
      <c r="S148" s="195"/>
      <c r="T148" s="194">
        <v>1</v>
      </c>
      <c r="U148" s="193">
        <v>46100</v>
      </c>
      <c r="V148" s="196">
        <f t="shared" si="28"/>
        <v>45292</v>
      </c>
      <c r="W148" s="197">
        <f t="shared" si="35"/>
        <v>0</v>
      </c>
      <c r="X148" s="197"/>
      <c r="Y148" s="198">
        <f t="shared" si="29"/>
        <v>0</v>
      </c>
      <c r="Z148" s="199">
        <f t="shared" si="36"/>
        <v>0</v>
      </c>
      <c r="AA148" s="198">
        <f t="shared" si="30"/>
        <v>0</v>
      </c>
      <c r="AB148" s="199">
        <f t="shared" si="37"/>
        <v>0</v>
      </c>
      <c r="AC148" s="198">
        <f t="shared" si="31"/>
        <v>0</v>
      </c>
      <c r="AD148" s="199">
        <f t="shared" si="38"/>
        <v>0</v>
      </c>
      <c r="AE148" s="198">
        <f t="shared" si="32"/>
        <v>0</v>
      </c>
      <c r="AF148" s="199">
        <f t="shared" si="39"/>
        <v>0</v>
      </c>
      <c r="AG148" s="198">
        <f t="shared" si="33"/>
        <v>0</v>
      </c>
      <c r="AH148" s="199">
        <f t="shared" si="40"/>
        <v>0</v>
      </c>
      <c r="AI148" s="198">
        <f t="shared" si="34"/>
        <v>1</v>
      </c>
      <c r="AJ148" s="199">
        <f t="shared" si="41"/>
        <v>46100</v>
      </c>
    </row>
    <row r="149" spans="1:36" ht="21.75" customHeight="1" x14ac:dyDescent="0.25">
      <c r="A149" s="185" t="s">
        <v>912</v>
      </c>
      <c r="B149" s="185" t="s">
        <v>776</v>
      </c>
      <c r="C149" s="185" t="s">
        <v>499</v>
      </c>
      <c r="D149" s="186" t="s">
        <v>810</v>
      </c>
      <c r="E149" s="185" t="s">
        <v>509</v>
      </c>
      <c r="F149" s="187">
        <v>146</v>
      </c>
      <c r="G149" s="188" t="s">
        <v>1111</v>
      </c>
      <c r="H149" s="189" t="s">
        <v>1115</v>
      </c>
      <c r="I149" s="212" t="s">
        <v>946</v>
      </c>
      <c r="J149" s="183"/>
      <c r="K149" s="183"/>
      <c r="L149" s="189" t="s">
        <v>534</v>
      </c>
      <c r="M149" s="183" t="s">
        <v>1113</v>
      </c>
      <c r="N149" s="189" t="s">
        <v>507</v>
      </c>
      <c r="O149" s="202" t="s">
        <v>554</v>
      </c>
      <c r="P149" s="203"/>
      <c r="Q149" s="192">
        <v>100</v>
      </c>
      <c r="R149" s="193">
        <v>46100</v>
      </c>
      <c r="S149" s="195"/>
      <c r="T149" s="194">
        <v>1</v>
      </c>
      <c r="U149" s="193">
        <v>46100</v>
      </c>
      <c r="V149" s="196">
        <f t="shared" si="28"/>
        <v>45292</v>
      </c>
      <c r="W149" s="197">
        <f t="shared" si="35"/>
        <v>0</v>
      </c>
      <c r="X149" s="197"/>
      <c r="Y149" s="198">
        <f t="shared" si="29"/>
        <v>0</v>
      </c>
      <c r="Z149" s="199">
        <f t="shared" si="36"/>
        <v>0</v>
      </c>
      <c r="AA149" s="198">
        <f t="shared" si="30"/>
        <v>0</v>
      </c>
      <c r="AB149" s="199">
        <f t="shared" si="37"/>
        <v>0</v>
      </c>
      <c r="AC149" s="198">
        <f t="shared" si="31"/>
        <v>0</v>
      </c>
      <c r="AD149" s="199">
        <f t="shared" si="38"/>
        <v>0</v>
      </c>
      <c r="AE149" s="198">
        <f t="shared" si="32"/>
        <v>0</v>
      </c>
      <c r="AF149" s="199">
        <f t="shared" si="39"/>
        <v>0</v>
      </c>
      <c r="AG149" s="198">
        <f t="shared" si="33"/>
        <v>0</v>
      </c>
      <c r="AH149" s="199">
        <f t="shared" si="40"/>
        <v>0</v>
      </c>
      <c r="AI149" s="198">
        <f t="shared" si="34"/>
        <v>1</v>
      </c>
      <c r="AJ149" s="199">
        <f t="shared" si="41"/>
        <v>46100</v>
      </c>
    </row>
    <row r="150" spans="1:36" ht="21.75" customHeight="1" x14ac:dyDescent="0.25">
      <c r="A150" s="185" t="s">
        <v>912</v>
      </c>
      <c r="B150" s="185" t="s">
        <v>776</v>
      </c>
      <c r="C150" s="185" t="s">
        <v>499</v>
      </c>
      <c r="D150" s="186" t="s">
        <v>810</v>
      </c>
      <c r="E150" s="185" t="s">
        <v>509</v>
      </c>
      <c r="F150" s="187">
        <v>147</v>
      </c>
      <c r="G150" s="188" t="s">
        <v>1111</v>
      </c>
      <c r="H150" s="189" t="s">
        <v>1116</v>
      </c>
      <c r="I150" s="212" t="s">
        <v>946</v>
      </c>
      <c r="J150" s="183"/>
      <c r="K150" s="183"/>
      <c r="L150" s="189" t="s">
        <v>534</v>
      </c>
      <c r="M150" s="183" t="s">
        <v>1113</v>
      </c>
      <c r="N150" s="189" t="s">
        <v>507</v>
      </c>
      <c r="O150" s="202" t="s">
        <v>554</v>
      </c>
      <c r="P150" s="203"/>
      <c r="Q150" s="192">
        <v>100</v>
      </c>
      <c r="R150" s="193">
        <v>46100</v>
      </c>
      <c r="S150" s="195"/>
      <c r="T150" s="194">
        <v>1</v>
      </c>
      <c r="U150" s="193">
        <v>46100</v>
      </c>
      <c r="V150" s="196">
        <f t="shared" si="28"/>
        <v>45292</v>
      </c>
      <c r="W150" s="197">
        <f t="shared" si="35"/>
        <v>0</v>
      </c>
      <c r="X150" s="197"/>
      <c r="Y150" s="198">
        <f t="shared" si="29"/>
        <v>0</v>
      </c>
      <c r="Z150" s="199">
        <f t="shared" si="36"/>
        <v>0</v>
      </c>
      <c r="AA150" s="198">
        <f t="shared" si="30"/>
        <v>0</v>
      </c>
      <c r="AB150" s="199">
        <f t="shared" si="37"/>
        <v>0</v>
      </c>
      <c r="AC150" s="198">
        <f t="shared" si="31"/>
        <v>0</v>
      </c>
      <c r="AD150" s="199">
        <f t="shared" si="38"/>
        <v>0</v>
      </c>
      <c r="AE150" s="198">
        <f t="shared" si="32"/>
        <v>0</v>
      </c>
      <c r="AF150" s="199">
        <f t="shared" si="39"/>
        <v>0</v>
      </c>
      <c r="AG150" s="198">
        <f t="shared" si="33"/>
        <v>0</v>
      </c>
      <c r="AH150" s="199">
        <f t="shared" si="40"/>
        <v>0</v>
      </c>
      <c r="AI150" s="198">
        <f t="shared" si="34"/>
        <v>1</v>
      </c>
      <c r="AJ150" s="199">
        <f t="shared" si="41"/>
        <v>46100</v>
      </c>
    </row>
    <row r="151" spans="1:36" ht="21.75" customHeight="1" x14ac:dyDescent="0.25">
      <c r="A151" s="185" t="s">
        <v>912</v>
      </c>
      <c r="B151" s="185" t="s">
        <v>776</v>
      </c>
      <c r="C151" s="185" t="s">
        <v>499</v>
      </c>
      <c r="D151" s="186" t="s">
        <v>810</v>
      </c>
      <c r="E151" s="185" t="s">
        <v>509</v>
      </c>
      <c r="F151" s="187">
        <v>148</v>
      </c>
      <c r="G151" s="188" t="s">
        <v>1111</v>
      </c>
      <c r="H151" s="189" t="s">
        <v>1117</v>
      </c>
      <c r="I151" s="212" t="s">
        <v>946</v>
      </c>
      <c r="J151" s="183"/>
      <c r="K151" s="183"/>
      <c r="L151" s="189" t="s">
        <v>534</v>
      </c>
      <c r="M151" s="183" t="s">
        <v>1113</v>
      </c>
      <c r="N151" s="189" t="s">
        <v>507</v>
      </c>
      <c r="O151" s="202" t="s">
        <v>554</v>
      </c>
      <c r="P151" s="203"/>
      <c r="Q151" s="192">
        <v>100</v>
      </c>
      <c r="R151" s="193">
        <v>46100</v>
      </c>
      <c r="S151" s="195"/>
      <c r="T151" s="194">
        <v>1</v>
      </c>
      <c r="U151" s="193">
        <v>46100</v>
      </c>
      <c r="V151" s="196">
        <f t="shared" si="28"/>
        <v>45292</v>
      </c>
      <c r="W151" s="197">
        <f t="shared" si="35"/>
        <v>0</v>
      </c>
      <c r="X151" s="197"/>
      <c r="Y151" s="198">
        <f t="shared" si="29"/>
        <v>0</v>
      </c>
      <c r="Z151" s="199">
        <f t="shared" si="36"/>
        <v>0</v>
      </c>
      <c r="AA151" s="198">
        <f t="shared" si="30"/>
        <v>0</v>
      </c>
      <c r="AB151" s="199">
        <f t="shared" si="37"/>
        <v>0</v>
      </c>
      <c r="AC151" s="198">
        <f t="shared" si="31"/>
        <v>0</v>
      </c>
      <c r="AD151" s="199">
        <f t="shared" si="38"/>
        <v>0</v>
      </c>
      <c r="AE151" s="198">
        <f t="shared" si="32"/>
        <v>0</v>
      </c>
      <c r="AF151" s="199">
        <f t="shared" si="39"/>
        <v>0</v>
      </c>
      <c r="AG151" s="198">
        <f t="shared" si="33"/>
        <v>0</v>
      </c>
      <c r="AH151" s="199">
        <f t="shared" si="40"/>
        <v>0</v>
      </c>
      <c r="AI151" s="198">
        <f t="shared" si="34"/>
        <v>1</v>
      </c>
      <c r="AJ151" s="199">
        <f t="shared" si="41"/>
        <v>46100</v>
      </c>
    </row>
    <row r="152" spans="1:36" ht="21.75" customHeight="1" x14ac:dyDescent="0.25">
      <c r="A152" s="185" t="s">
        <v>912</v>
      </c>
      <c r="B152" s="185" t="s">
        <v>776</v>
      </c>
      <c r="C152" s="185" t="s">
        <v>499</v>
      </c>
      <c r="D152" s="186" t="s">
        <v>810</v>
      </c>
      <c r="E152" s="185" t="s">
        <v>509</v>
      </c>
      <c r="F152" s="187">
        <v>149</v>
      </c>
      <c r="G152" s="188" t="s">
        <v>1111</v>
      </c>
      <c r="H152" s="189" t="s">
        <v>1118</v>
      </c>
      <c r="I152" s="212" t="s">
        <v>946</v>
      </c>
      <c r="J152" s="183"/>
      <c r="K152" s="183"/>
      <c r="L152" s="189" t="s">
        <v>534</v>
      </c>
      <c r="M152" s="183" t="s">
        <v>1113</v>
      </c>
      <c r="N152" s="189" t="s">
        <v>507</v>
      </c>
      <c r="O152" s="202" t="s">
        <v>554</v>
      </c>
      <c r="P152" s="203"/>
      <c r="Q152" s="192">
        <v>100</v>
      </c>
      <c r="R152" s="193">
        <v>46100</v>
      </c>
      <c r="S152" s="195"/>
      <c r="T152" s="194">
        <v>1</v>
      </c>
      <c r="U152" s="193">
        <v>46100</v>
      </c>
      <c r="V152" s="196">
        <f t="shared" si="28"/>
        <v>45292</v>
      </c>
      <c r="W152" s="197">
        <f t="shared" si="35"/>
        <v>0</v>
      </c>
      <c r="X152" s="197"/>
      <c r="Y152" s="198">
        <f t="shared" si="29"/>
        <v>0</v>
      </c>
      <c r="Z152" s="199">
        <f t="shared" si="36"/>
        <v>0</v>
      </c>
      <c r="AA152" s="198">
        <f t="shared" si="30"/>
        <v>0</v>
      </c>
      <c r="AB152" s="199">
        <f t="shared" si="37"/>
        <v>0</v>
      </c>
      <c r="AC152" s="198">
        <f t="shared" si="31"/>
        <v>0</v>
      </c>
      <c r="AD152" s="199">
        <f t="shared" si="38"/>
        <v>0</v>
      </c>
      <c r="AE152" s="198">
        <f t="shared" si="32"/>
        <v>0</v>
      </c>
      <c r="AF152" s="199">
        <f t="shared" si="39"/>
        <v>0</v>
      </c>
      <c r="AG152" s="198">
        <f t="shared" si="33"/>
        <v>0</v>
      </c>
      <c r="AH152" s="199">
        <f t="shared" si="40"/>
        <v>0</v>
      </c>
      <c r="AI152" s="198">
        <f t="shared" si="34"/>
        <v>1</v>
      </c>
      <c r="AJ152" s="199">
        <f t="shared" si="41"/>
        <v>46100</v>
      </c>
    </row>
    <row r="153" spans="1:36" ht="21.75" customHeight="1" x14ac:dyDescent="0.25">
      <c r="A153" s="185" t="s">
        <v>912</v>
      </c>
      <c r="B153" s="185" t="s">
        <v>776</v>
      </c>
      <c r="C153" s="185" t="s">
        <v>499</v>
      </c>
      <c r="D153" s="186" t="s">
        <v>810</v>
      </c>
      <c r="E153" s="185" t="s">
        <v>509</v>
      </c>
      <c r="F153" s="187">
        <v>150</v>
      </c>
      <c r="G153" s="188" t="s">
        <v>1111</v>
      </c>
      <c r="H153" s="189" t="s">
        <v>1119</v>
      </c>
      <c r="I153" s="212" t="s">
        <v>946</v>
      </c>
      <c r="J153" s="183"/>
      <c r="K153" s="183"/>
      <c r="L153" s="189" t="s">
        <v>534</v>
      </c>
      <c r="M153" s="183" t="s">
        <v>1113</v>
      </c>
      <c r="N153" s="189" t="s">
        <v>507</v>
      </c>
      <c r="O153" s="202" t="s">
        <v>554</v>
      </c>
      <c r="P153" s="203"/>
      <c r="Q153" s="192">
        <v>100</v>
      </c>
      <c r="R153" s="193">
        <v>46100</v>
      </c>
      <c r="S153" s="195"/>
      <c r="T153" s="194">
        <v>1</v>
      </c>
      <c r="U153" s="193">
        <v>46100</v>
      </c>
      <c r="V153" s="196">
        <f t="shared" si="28"/>
        <v>45292</v>
      </c>
      <c r="W153" s="197">
        <f t="shared" si="35"/>
        <v>0</v>
      </c>
      <c r="X153" s="197"/>
      <c r="Y153" s="198">
        <f t="shared" si="29"/>
        <v>0</v>
      </c>
      <c r="Z153" s="199">
        <f t="shared" si="36"/>
        <v>0</v>
      </c>
      <c r="AA153" s="198">
        <f t="shared" si="30"/>
        <v>0</v>
      </c>
      <c r="AB153" s="199">
        <f t="shared" si="37"/>
        <v>0</v>
      </c>
      <c r="AC153" s="198">
        <f t="shared" si="31"/>
        <v>0</v>
      </c>
      <c r="AD153" s="199">
        <f t="shared" si="38"/>
        <v>0</v>
      </c>
      <c r="AE153" s="198">
        <f t="shared" si="32"/>
        <v>0</v>
      </c>
      <c r="AF153" s="199">
        <f t="shared" si="39"/>
        <v>0</v>
      </c>
      <c r="AG153" s="198">
        <f t="shared" si="33"/>
        <v>0</v>
      </c>
      <c r="AH153" s="199">
        <f t="shared" si="40"/>
        <v>0</v>
      </c>
      <c r="AI153" s="198">
        <f t="shared" si="34"/>
        <v>1</v>
      </c>
      <c r="AJ153" s="199">
        <f t="shared" si="41"/>
        <v>46100</v>
      </c>
    </row>
    <row r="154" spans="1:36" ht="21.75" customHeight="1" x14ac:dyDescent="0.25">
      <c r="A154" s="185" t="s">
        <v>912</v>
      </c>
      <c r="B154" s="185" t="s">
        <v>776</v>
      </c>
      <c r="C154" s="185" t="s">
        <v>499</v>
      </c>
      <c r="D154" s="186" t="s">
        <v>810</v>
      </c>
      <c r="E154" s="185" t="s">
        <v>509</v>
      </c>
      <c r="F154" s="187">
        <v>151</v>
      </c>
      <c r="G154" s="188" t="s">
        <v>1111</v>
      </c>
      <c r="H154" s="189" t="s">
        <v>1120</v>
      </c>
      <c r="I154" s="212" t="s">
        <v>946</v>
      </c>
      <c r="J154" s="183"/>
      <c r="K154" s="183"/>
      <c r="L154" s="189" t="s">
        <v>534</v>
      </c>
      <c r="M154" s="183" t="s">
        <v>1113</v>
      </c>
      <c r="N154" s="189" t="s">
        <v>507</v>
      </c>
      <c r="O154" s="202" t="s">
        <v>554</v>
      </c>
      <c r="P154" s="203"/>
      <c r="Q154" s="192">
        <v>100</v>
      </c>
      <c r="R154" s="193">
        <v>46100</v>
      </c>
      <c r="S154" s="195"/>
      <c r="T154" s="194">
        <v>1</v>
      </c>
      <c r="U154" s="193">
        <v>46100</v>
      </c>
      <c r="V154" s="196">
        <f t="shared" si="28"/>
        <v>45292</v>
      </c>
      <c r="W154" s="197">
        <f t="shared" si="35"/>
        <v>0</v>
      </c>
      <c r="X154" s="197"/>
      <c r="Y154" s="198">
        <f t="shared" si="29"/>
        <v>0</v>
      </c>
      <c r="Z154" s="199">
        <f t="shared" si="36"/>
        <v>0</v>
      </c>
      <c r="AA154" s="198">
        <f t="shared" si="30"/>
        <v>0</v>
      </c>
      <c r="AB154" s="199">
        <f t="shared" si="37"/>
        <v>0</v>
      </c>
      <c r="AC154" s="198">
        <f t="shared" si="31"/>
        <v>0</v>
      </c>
      <c r="AD154" s="199">
        <f t="shared" si="38"/>
        <v>0</v>
      </c>
      <c r="AE154" s="198">
        <f t="shared" si="32"/>
        <v>0</v>
      </c>
      <c r="AF154" s="199">
        <f t="shared" si="39"/>
        <v>0</v>
      </c>
      <c r="AG154" s="198">
        <f t="shared" si="33"/>
        <v>0</v>
      </c>
      <c r="AH154" s="199">
        <f t="shared" si="40"/>
        <v>0</v>
      </c>
      <c r="AI154" s="198">
        <f t="shared" si="34"/>
        <v>1</v>
      </c>
      <c r="AJ154" s="199">
        <f t="shared" si="41"/>
        <v>46100</v>
      </c>
    </row>
    <row r="155" spans="1:36" ht="21.75" customHeight="1" x14ac:dyDescent="0.25">
      <c r="A155" s="185" t="s">
        <v>912</v>
      </c>
      <c r="B155" s="185" t="s">
        <v>776</v>
      </c>
      <c r="C155" s="185" t="s">
        <v>499</v>
      </c>
      <c r="D155" s="186" t="s">
        <v>810</v>
      </c>
      <c r="E155" s="185" t="s">
        <v>509</v>
      </c>
      <c r="F155" s="187">
        <v>152</v>
      </c>
      <c r="G155" s="188" t="s">
        <v>1111</v>
      </c>
      <c r="H155" s="189" t="s">
        <v>1121</v>
      </c>
      <c r="I155" s="212" t="s">
        <v>946</v>
      </c>
      <c r="J155" s="183"/>
      <c r="K155" s="183"/>
      <c r="L155" s="189" t="s">
        <v>534</v>
      </c>
      <c r="M155" s="183" t="s">
        <v>1113</v>
      </c>
      <c r="N155" s="189" t="s">
        <v>507</v>
      </c>
      <c r="O155" s="202" t="s">
        <v>554</v>
      </c>
      <c r="P155" s="203"/>
      <c r="Q155" s="192">
        <v>100</v>
      </c>
      <c r="R155" s="193">
        <v>46100</v>
      </c>
      <c r="S155" s="195"/>
      <c r="T155" s="194">
        <v>1</v>
      </c>
      <c r="U155" s="193">
        <v>46100</v>
      </c>
      <c r="V155" s="196">
        <f t="shared" si="28"/>
        <v>45292</v>
      </c>
      <c r="W155" s="197">
        <f t="shared" si="35"/>
        <v>0</v>
      </c>
      <c r="X155" s="197"/>
      <c r="Y155" s="198">
        <f t="shared" si="29"/>
        <v>0</v>
      </c>
      <c r="Z155" s="199">
        <f t="shared" si="36"/>
        <v>0</v>
      </c>
      <c r="AA155" s="198">
        <f t="shared" si="30"/>
        <v>0</v>
      </c>
      <c r="AB155" s="199">
        <f t="shared" si="37"/>
        <v>0</v>
      </c>
      <c r="AC155" s="198">
        <f t="shared" si="31"/>
        <v>0</v>
      </c>
      <c r="AD155" s="199">
        <f t="shared" si="38"/>
        <v>0</v>
      </c>
      <c r="AE155" s="198">
        <f t="shared" si="32"/>
        <v>0</v>
      </c>
      <c r="AF155" s="199">
        <f t="shared" si="39"/>
        <v>0</v>
      </c>
      <c r="AG155" s="198">
        <f t="shared" si="33"/>
        <v>0</v>
      </c>
      <c r="AH155" s="199">
        <f t="shared" si="40"/>
        <v>0</v>
      </c>
      <c r="AI155" s="198">
        <f t="shared" si="34"/>
        <v>1</v>
      </c>
      <c r="AJ155" s="199">
        <f t="shared" si="41"/>
        <v>46100</v>
      </c>
    </row>
    <row r="156" spans="1:36" ht="21.75" customHeight="1" x14ac:dyDescent="0.25">
      <c r="A156" s="185" t="s">
        <v>912</v>
      </c>
      <c r="B156" s="185" t="s">
        <v>776</v>
      </c>
      <c r="C156" s="185" t="s">
        <v>499</v>
      </c>
      <c r="D156" s="186" t="s">
        <v>810</v>
      </c>
      <c r="E156" s="185" t="s">
        <v>509</v>
      </c>
      <c r="F156" s="187">
        <v>153</v>
      </c>
      <c r="G156" s="188" t="s">
        <v>1111</v>
      </c>
      <c r="H156" s="189" t="s">
        <v>1122</v>
      </c>
      <c r="I156" s="212" t="s">
        <v>946</v>
      </c>
      <c r="J156" s="183"/>
      <c r="K156" s="183"/>
      <c r="L156" s="189" t="s">
        <v>534</v>
      </c>
      <c r="M156" s="183" t="s">
        <v>1113</v>
      </c>
      <c r="N156" s="189" t="s">
        <v>507</v>
      </c>
      <c r="O156" s="202" t="s">
        <v>554</v>
      </c>
      <c r="P156" s="203"/>
      <c r="Q156" s="192">
        <v>100</v>
      </c>
      <c r="R156" s="193">
        <v>46100</v>
      </c>
      <c r="S156" s="195"/>
      <c r="T156" s="194">
        <v>1</v>
      </c>
      <c r="U156" s="193">
        <v>46100</v>
      </c>
      <c r="V156" s="196">
        <f t="shared" si="28"/>
        <v>45292</v>
      </c>
      <c r="W156" s="197">
        <f t="shared" si="35"/>
        <v>0</v>
      </c>
      <c r="X156" s="197"/>
      <c r="Y156" s="198">
        <f t="shared" si="29"/>
        <v>0</v>
      </c>
      <c r="Z156" s="199">
        <f t="shared" si="36"/>
        <v>0</v>
      </c>
      <c r="AA156" s="198">
        <f t="shared" si="30"/>
        <v>0</v>
      </c>
      <c r="AB156" s="199">
        <f t="shared" si="37"/>
        <v>0</v>
      </c>
      <c r="AC156" s="198">
        <f t="shared" si="31"/>
        <v>0</v>
      </c>
      <c r="AD156" s="199">
        <f t="shared" si="38"/>
        <v>0</v>
      </c>
      <c r="AE156" s="198">
        <f t="shared" si="32"/>
        <v>0</v>
      </c>
      <c r="AF156" s="199">
        <f t="shared" si="39"/>
        <v>0</v>
      </c>
      <c r="AG156" s="198">
        <f t="shared" si="33"/>
        <v>0</v>
      </c>
      <c r="AH156" s="199">
        <f t="shared" si="40"/>
        <v>0</v>
      </c>
      <c r="AI156" s="198">
        <f t="shared" si="34"/>
        <v>1</v>
      </c>
      <c r="AJ156" s="199">
        <f t="shared" si="41"/>
        <v>46100</v>
      </c>
    </row>
    <row r="157" spans="1:36" ht="21.75" customHeight="1" x14ac:dyDescent="0.25">
      <c r="A157" s="185" t="s">
        <v>912</v>
      </c>
      <c r="B157" s="185" t="s">
        <v>776</v>
      </c>
      <c r="C157" s="185" t="s">
        <v>499</v>
      </c>
      <c r="D157" s="186" t="s">
        <v>810</v>
      </c>
      <c r="E157" s="185" t="s">
        <v>509</v>
      </c>
      <c r="F157" s="187">
        <v>154</v>
      </c>
      <c r="G157" s="188" t="s">
        <v>1111</v>
      </c>
      <c r="H157" s="189" t="s">
        <v>1123</v>
      </c>
      <c r="I157" s="212" t="s">
        <v>946</v>
      </c>
      <c r="J157" s="183"/>
      <c r="K157" s="183"/>
      <c r="L157" s="189" t="s">
        <v>534</v>
      </c>
      <c r="M157" s="183" t="s">
        <v>1113</v>
      </c>
      <c r="N157" s="189" t="s">
        <v>507</v>
      </c>
      <c r="O157" s="202" t="s">
        <v>554</v>
      </c>
      <c r="P157" s="203"/>
      <c r="Q157" s="192">
        <v>100</v>
      </c>
      <c r="R157" s="193">
        <v>46100</v>
      </c>
      <c r="S157" s="195"/>
      <c r="T157" s="194">
        <v>1</v>
      </c>
      <c r="U157" s="193">
        <v>46100</v>
      </c>
      <c r="V157" s="196">
        <f t="shared" si="28"/>
        <v>45292</v>
      </c>
      <c r="W157" s="197">
        <f t="shared" si="35"/>
        <v>0</v>
      </c>
      <c r="X157" s="197"/>
      <c r="Y157" s="198">
        <f t="shared" si="29"/>
        <v>0</v>
      </c>
      <c r="Z157" s="199">
        <f t="shared" si="36"/>
        <v>0</v>
      </c>
      <c r="AA157" s="198">
        <f t="shared" si="30"/>
        <v>0</v>
      </c>
      <c r="AB157" s="199">
        <f t="shared" si="37"/>
        <v>0</v>
      </c>
      <c r="AC157" s="198">
        <f t="shared" si="31"/>
        <v>0</v>
      </c>
      <c r="AD157" s="199">
        <f t="shared" si="38"/>
        <v>0</v>
      </c>
      <c r="AE157" s="198">
        <f t="shared" si="32"/>
        <v>0</v>
      </c>
      <c r="AF157" s="199">
        <f t="shared" si="39"/>
        <v>0</v>
      </c>
      <c r="AG157" s="198">
        <f t="shared" si="33"/>
        <v>0</v>
      </c>
      <c r="AH157" s="199">
        <f t="shared" si="40"/>
        <v>0</v>
      </c>
      <c r="AI157" s="198">
        <f t="shared" si="34"/>
        <v>1</v>
      </c>
      <c r="AJ157" s="199">
        <f t="shared" si="41"/>
        <v>46100</v>
      </c>
    </row>
    <row r="158" spans="1:36" ht="21.75" customHeight="1" x14ac:dyDescent="0.25">
      <c r="A158" s="185" t="s">
        <v>912</v>
      </c>
      <c r="B158" s="185" t="s">
        <v>776</v>
      </c>
      <c r="C158" s="185" t="s">
        <v>499</v>
      </c>
      <c r="D158" s="186" t="s">
        <v>810</v>
      </c>
      <c r="E158" s="185" t="s">
        <v>509</v>
      </c>
      <c r="F158" s="187">
        <v>155</v>
      </c>
      <c r="G158" s="188" t="s">
        <v>1111</v>
      </c>
      <c r="H158" s="189" t="s">
        <v>1124</v>
      </c>
      <c r="I158" s="212" t="s">
        <v>946</v>
      </c>
      <c r="J158" s="183"/>
      <c r="K158" s="183"/>
      <c r="L158" s="189" t="s">
        <v>534</v>
      </c>
      <c r="M158" s="183" t="s">
        <v>1113</v>
      </c>
      <c r="N158" s="189" t="s">
        <v>507</v>
      </c>
      <c r="O158" s="202" t="s">
        <v>554</v>
      </c>
      <c r="P158" s="203"/>
      <c r="Q158" s="192">
        <v>100</v>
      </c>
      <c r="R158" s="193">
        <v>46100</v>
      </c>
      <c r="S158" s="195"/>
      <c r="T158" s="194">
        <v>1</v>
      </c>
      <c r="U158" s="193">
        <v>46100</v>
      </c>
      <c r="V158" s="196">
        <f t="shared" si="28"/>
        <v>45292</v>
      </c>
      <c r="W158" s="197">
        <f t="shared" si="35"/>
        <v>0</v>
      </c>
      <c r="X158" s="197"/>
      <c r="Y158" s="198">
        <f t="shared" si="29"/>
        <v>0</v>
      </c>
      <c r="Z158" s="199">
        <f t="shared" si="36"/>
        <v>0</v>
      </c>
      <c r="AA158" s="198">
        <f t="shared" si="30"/>
        <v>0</v>
      </c>
      <c r="AB158" s="199">
        <f t="shared" si="37"/>
        <v>0</v>
      </c>
      <c r="AC158" s="198">
        <f t="shared" si="31"/>
        <v>0</v>
      </c>
      <c r="AD158" s="199">
        <f t="shared" si="38"/>
        <v>0</v>
      </c>
      <c r="AE158" s="198">
        <f t="shared" si="32"/>
        <v>0</v>
      </c>
      <c r="AF158" s="199">
        <f t="shared" si="39"/>
        <v>0</v>
      </c>
      <c r="AG158" s="198">
        <f t="shared" si="33"/>
        <v>0</v>
      </c>
      <c r="AH158" s="199">
        <f t="shared" si="40"/>
        <v>0</v>
      </c>
      <c r="AI158" s="198">
        <f t="shared" si="34"/>
        <v>1</v>
      </c>
      <c r="AJ158" s="199">
        <f t="shared" si="41"/>
        <v>46100</v>
      </c>
    </row>
    <row r="159" spans="1:36" ht="21.75" customHeight="1" x14ac:dyDescent="0.25">
      <c r="A159" s="185" t="s">
        <v>912</v>
      </c>
      <c r="B159" s="185" t="s">
        <v>776</v>
      </c>
      <c r="C159" s="185" t="s">
        <v>499</v>
      </c>
      <c r="D159" s="186" t="s">
        <v>810</v>
      </c>
      <c r="E159" s="185" t="s">
        <v>509</v>
      </c>
      <c r="F159" s="187">
        <v>156</v>
      </c>
      <c r="G159" s="188" t="s">
        <v>1111</v>
      </c>
      <c r="H159" s="189" t="s">
        <v>1125</v>
      </c>
      <c r="I159" s="212" t="s">
        <v>946</v>
      </c>
      <c r="J159" s="183"/>
      <c r="K159" s="183"/>
      <c r="L159" s="189" t="s">
        <v>534</v>
      </c>
      <c r="M159" s="183" t="s">
        <v>1113</v>
      </c>
      <c r="N159" s="189" t="s">
        <v>507</v>
      </c>
      <c r="O159" s="202" t="s">
        <v>554</v>
      </c>
      <c r="P159" s="203"/>
      <c r="Q159" s="192">
        <v>100</v>
      </c>
      <c r="R159" s="193">
        <v>46100</v>
      </c>
      <c r="S159" s="195"/>
      <c r="T159" s="194">
        <v>1</v>
      </c>
      <c r="U159" s="193">
        <v>46100</v>
      </c>
      <c r="V159" s="196">
        <f t="shared" si="28"/>
        <v>45292</v>
      </c>
      <c r="W159" s="197">
        <f t="shared" si="35"/>
        <v>0</v>
      </c>
      <c r="X159" s="197"/>
      <c r="Y159" s="198">
        <f t="shared" si="29"/>
        <v>0</v>
      </c>
      <c r="Z159" s="199">
        <f t="shared" si="36"/>
        <v>0</v>
      </c>
      <c r="AA159" s="198">
        <f t="shared" si="30"/>
        <v>0</v>
      </c>
      <c r="AB159" s="199">
        <f t="shared" si="37"/>
        <v>0</v>
      </c>
      <c r="AC159" s="198">
        <f t="shared" si="31"/>
        <v>0</v>
      </c>
      <c r="AD159" s="199">
        <f t="shared" si="38"/>
        <v>0</v>
      </c>
      <c r="AE159" s="198">
        <f t="shared" si="32"/>
        <v>0</v>
      </c>
      <c r="AF159" s="199">
        <f t="shared" si="39"/>
        <v>0</v>
      </c>
      <c r="AG159" s="198">
        <f t="shared" si="33"/>
        <v>0</v>
      </c>
      <c r="AH159" s="199">
        <f t="shared" si="40"/>
        <v>0</v>
      </c>
      <c r="AI159" s="198">
        <f t="shared" si="34"/>
        <v>1</v>
      </c>
      <c r="AJ159" s="199">
        <f t="shared" si="41"/>
        <v>46100</v>
      </c>
    </row>
    <row r="160" spans="1:36" ht="21.75" customHeight="1" x14ac:dyDescent="0.25">
      <c r="A160" s="185" t="s">
        <v>912</v>
      </c>
      <c r="B160" s="185" t="s">
        <v>776</v>
      </c>
      <c r="C160" s="185" t="s">
        <v>499</v>
      </c>
      <c r="D160" s="186" t="s">
        <v>500</v>
      </c>
      <c r="E160" s="185" t="s">
        <v>501</v>
      </c>
      <c r="F160" s="187">
        <v>157</v>
      </c>
      <c r="G160" s="188" t="s">
        <v>818</v>
      </c>
      <c r="H160" s="189" t="s">
        <v>819</v>
      </c>
      <c r="I160" s="212" t="s">
        <v>946</v>
      </c>
      <c r="J160" s="183" t="s">
        <v>820</v>
      </c>
      <c r="K160" s="201">
        <v>2</v>
      </c>
      <c r="L160" s="189" t="s">
        <v>534</v>
      </c>
      <c r="M160" s="183" t="s">
        <v>821</v>
      </c>
      <c r="N160" s="189" t="s">
        <v>507</v>
      </c>
      <c r="O160" s="190">
        <v>2.778</v>
      </c>
      <c r="P160" s="191">
        <v>36</v>
      </c>
      <c r="Q160" s="192">
        <v>100</v>
      </c>
      <c r="R160" s="193">
        <v>34174</v>
      </c>
      <c r="S160" s="195"/>
      <c r="T160" s="194">
        <v>1</v>
      </c>
      <c r="U160" s="193">
        <v>34174</v>
      </c>
      <c r="V160" s="196">
        <f t="shared" si="28"/>
        <v>40878</v>
      </c>
      <c r="W160" s="197">
        <f t="shared" si="35"/>
        <v>145</v>
      </c>
      <c r="X160" s="197"/>
      <c r="Y160" s="198">
        <f t="shared" si="29"/>
        <v>1</v>
      </c>
      <c r="Z160" s="199">
        <f t="shared" si="36"/>
        <v>34174</v>
      </c>
      <c r="AA160" s="198">
        <f t="shared" si="30"/>
        <v>0</v>
      </c>
      <c r="AB160" s="199">
        <f t="shared" si="37"/>
        <v>0</v>
      </c>
      <c r="AC160" s="198">
        <f t="shared" si="31"/>
        <v>0</v>
      </c>
      <c r="AD160" s="199">
        <f t="shared" si="38"/>
        <v>0</v>
      </c>
      <c r="AE160" s="198">
        <f t="shared" si="32"/>
        <v>0</v>
      </c>
      <c r="AF160" s="199">
        <f t="shared" si="39"/>
        <v>0</v>
      </c>
      <c r="AG160" s="198">
        <f t="shared" si="33"/>
        <v>0</v>
      </c>
      <c r="AH160" s="199">
        <f t="shared" si="40"/>
        <v>0</v>
      </c>
      <c r="AI160" s="198">
        <f t="shared" si="34"/>
        <v>0</v>
      </c>
      <c r="AJ160" s="199">
        <f t="shared" si="41"/>
        <v>0</v>
      </c>
    </row>
    <row r="161" spans="1:36" ht="21.75" customHeight="1" x14ac:dyDescent="0.25">
      <c r="A161" s="185" t="s">
        <v>912</v>
      </c>
      <c r="B161" s="185" t="s">
        <v>776</v>
      </c>
      <c r="C161" s="185" t="s">
        <v>499</v>
      </c>
      <c r="D161" s="186" t="s">
        <v>500</v>
      </c>
      <c r="E161" s="185" t="s">
        <v>509</v>
      </c>
      <c r="F161" s="187">
        <v>158</v>
      </c>
      <c r="G161" s="188" t="s">
        <v>822</v>
      </c>
      <c r="H161" s="189" t="s">
        <v>823</v>
      </c>
      <c r="I161" s="212" t="s">
        <v>946</v>
      </c>
      <c r="J161" s="183"/>
      <c r="K161" s="183"/>
      <c r="L161" s="189" t="s">
        <v>534</v>
      </c>
      <c r="M161" s="183" t="s">
        <v>824</v>
      </c>
      <c r="N161" s="189" t="s">
        <v>507</v>
      </c>
      <c r="O161" s="202" t="s">
        <v>554</v>
      </c>
      <c r="P161" s="203"/>
      <c r="Q161" s="192">
        <v>100</v>
      </c>
      <c r="R161" s="193">
        <v>6026.4</v>
      </c>
      <c r="S161" s="195"/>
      <c r="T161" s="194">
        <v>1</v>
      </c>
      <c r="U161" s="193">
        <v>6026.4</v>
      </c>
      <c r="V161" s="196">
        <f t="shared" si="28"/>
        <v>40878</v>
      </c>
      <c r="W161" s="197">
        <f t="shared" si="35"/>
        <v>145</v>
      </c>
      <c r="X161" s="197"/>
      <c r="Y161" s="198">
        <f t="shared" si="29"/>
        <v>1</v>
      </c>
      <c r="Z161" s="199">
        <f t="shared" si="36"/>
        <v>6026.4</v>
      </c>
      <c r="AA161" s="198">
        <f t="shared" si="30"/>
        <v>0</v>
      </c>
      <c r="AB161" s="199">
        <f t="shared" si="37"/>
        <v>0</v>
      </c>
      <c r="AC161" s="198">
        <f t="shared" si="31"/>
        <v>0</v>
      </c>
      <c r="AD161" s="199">
        <f t="shared" si="38"/>
        <v>0</v>
      </c>
      <c r="AE161" s="198">
        <f t="shared" si="32"/>
        <v>0</v>
      </c>
      <c r="AF161" s="199">
        <f t="shared" si="39"/>
        <v>0</v>
      </c>
      <c r="AG161" s="198">
        <f t="shared" si="33"/>
        <v>0</v>
      </c>
      <c r="AH161" s="199">
        <f t="shared" si="40"/>
        <v>0</v>
      </c>
      <c r="AI161" s="198">
        <f t="shared" si="34"/>
        <v>0</v>
      </c>
      <c r="AJ161" s="199">
        <f t="shared" si="41"/>
        <v>0</v>
      </c>
    </row>
    <row r="162" spans="1:36" ht="21.75" customHeight="1" x14ac:dyDescent="0.25">
      <c r="A162" s="185" t="s">
        <v>912</v>
      </c>
      <c r="B162" s="185" t="s">
        <v>776</v>
      </c>
      <c r="C162" s="185" t="s">
        <v>499</v>
      </c>
      <c r="D162" s="186" t="s">
        <v>500</v>
      </c>
      <c r="E162" s="185" t="s">
        <v>509</v>
      </c>
      <c r="F162" s="187">
        <v>159</v>
      </c>
      <c r="G162" s="188" t="s">
        <v>825</v>
      </c>
      <c r="H162" s="189" t="s">
        <v>833</v>
      </c>
      <c r="I162" s="212" t="s">
        <v>946</v>
      </c>
      <c r="J162" s="183"/>
      <c r="K162" s="183"/>
      <c r="L162" s="189" t="s">
        <v>534</v>
      </c>
      <c r="M162" s="183" t="s">
        <v>827</v>
      </c>
      <c r="N162" s="189" t="s">
        <v>507</v>
      </c>
      <c r="O162" s="202" t="s">
        <v>554</v>
      </c>
      <c r="P162" s="203"/>
      <c r="Q162" s="192">
        <v>100</v>
      </c>
      <c r="R162" s="193">
        <v>4490</v>
      </c>
      <c r="S162" s="195"/>
      <c r="T162" s="194">
        <v>1</v>
      </c>
      <c r="U162" s="193">
        <v>4490</v>
      </c>
      <c r="V162" s="196">
        <f t="shared" si="28"/>
        <v>40575</v>
      </c>
      <c r="W162" s="197">
        <f t="shared" si="35"/>
        <v>155</v>
      </c>
      <c r="X162" s="197"/>
      <c r="Y162" s="198">
        <f t="shared" si="29"/>
        <v>1</v>
      </c>
      <c r="Z162" s="199">
        <f t="shared" si="36"/>
        <v>4490</v>
      </c>
      <c r="AA162" s="198">
        <f t="shared" si="30"/>
        <v>0</v>
      </c>
      <c r="AB162" s="199">
        <f t="shared" si="37"/>
        <v>0</v>
      </c>
      <c r="AC162" s="198">
        <f t="shared" si="31"/>
        <v>0</v>
      </c>
      <c r="AD162" s="199">
        <f t="shared" si="38"/>
        <v>0</v>
      </c>
      <c r="AE162" s="198">
        <f t="shared" si="32"/>
        <v>0</v>
      </c>
      <c r="AF162" s="199">
        <f t="shared" si="39"/>
        <v>0</v>
      </c>
      <c r="AG162" s="198">
        <f t="shared" si="33"/>
        <v>0</v>
      </c>
      <c r="AH162" s="199">
        <f t="shared" si="40"/>
        <v>0</v>
      </c>
      <c r="AI162" s="198">
        <f t="shared" si="34"/>
        <v>0</v>
      </c>
      <c r="AJ162" s="199">
        <f t="shared" si="41"/>
        <v>0</v>
      </c>
    </row>
    <row r="163" spans="1:36" ht="21.75" customHeight="1" x14ac:dyDescent="0.25">
      <c r="A163" s="185" t="s">
        <v>912</v>
      </c>
      <c r="B163" s="185" t="s">
        <v>776</v>
      </c>
      <c r="C163" s="185" t="s">
        <v>499</v>
      </c>
      <c r="D163" s="186" t="s">
        <v>500</v>
      </c>
      <c r="E163" s="185" t="s">
        <v>509</v>
      </c>
      <c r="F163" s="187">
        <v>160</v>
      </c>
      <c r="G163" s="188" t="s">
        <v>825</v>
      </c>
      <c r="H163" s="189" t="s">
        <v>834</v>
      </c>
      <c r="I163" s="212" t="s">
        <v>946</v>
      </c>
      <c r="J163" s="183"/>
      <c r="K163" s="183"/>
      <c r="L163" s="189" t="s">
        <v>534</v>
      </c>
      <c r="M163" s="183" t="s">
        <v>827</v>
      </c>
      <c r="N163" s="189" t="s">
        <v>507</v>
      </c>
      <c r="O163" s="202" t="s">
        <v>554</v>
      </c>
      <c r="P163" s="203"/>
      <c r="Q163" s="192">
        <v>100</v>
      </c>
      <c r="R163" s="193">
        <v>4490</v>
      </c>
      <c r="S163" s="195"/>
      <c r="T163" s="194">
        <v>1</v>
      </c>
      <c r="U163" s="193">
        <v>4490</v>
      </c>
      <c r="V163" s="196">
        <f t="shared" si="28"/>
        <v>40575</v>
      </c>
      <c r="W163" s="197">
        <f t="shared" si="35"/>
        <v>155</v>
      </c>
      <c r="X163" s="197"/>
      <c r="Y163" s="198">
        <f t="shared" si="29"/>
        <v>1</v>
      </c>
      <c r="Z163" s="199">
        <f t="shared" si="36"/>
        <v>4490</v>
      </c>
      <c r="AA163" s="198">
        <f t="shared" si="30"/>
        <v>0</v>
      </c>
      <c r="AB163" s="199">
        <f t="shared" si="37"/>
        <v>0</v>
      </c>
      <c r="AC163" s="198">
        <f t="shared" si="31"/>
        <v>0</v>
      </c>
      <c r="AD163" s="199">
        <f t="shared" si="38"/>
        <v>0</v>
      </c>
      <c r="AE163" s="198">
        <f t="shared" si="32"/>
        <v>0</v>
      </c>
      <c r="AF163" s="199">
        <f t="shared" si="39"/>
        <v>0</v>
      </c>
      <c r="AG163" s="198">
        <f t="shared" si="33"/>
        <v>0</v>
      </c>
      <c r="AH163" s="199">
        <f t="shared" si="40"/>
        <v>0</v>
      </c>
      <c r="AI163" s="198">
        <f t="shared" si="34"/>
        <v>0</v>
      </c>
      <c r="AJ163" s="199">
        <f t="shared" si="41"/>
        <v>0</v>
      </c>
    </row>
    <row r="164" spans="1:36" ht="21.75" customHeight="1" x14ac:dyDescent="0.25">
      <c r="A164" s="185" t="s">
        <v>912</v>
      </c>
      <c r="B164" s="185" t="s">
        <v>776</v>
      </c>
      <c r="C164" s="185" t="s">
        <v>499</v>
      </c>
      <c r="D164" s="186" t="s">
        <v>500</v>
      </c>
      <c r="E164" s="185" t="s">
        <v>509</v>
      </c>
      <c r="F164" s="187">
        <v>161</v>
      </c>
      <c r="G164" s="188" t="s">
        <v>825</v>
      </c>
      <c r="H164" s="189" t="s">
        <v>835</v>
      </c>
      <c r="I164" s="212" t="s">
        <v>946</v>
      </c>
      <c r="J164" s="183"/>
      <c r="K164" s="183"/>
      <c r="L164" s="189" t="s">
        <v>534</v>
      </c>
      <c r="M164" s="183" t="s">
        <v>827</v>
      </c>
      <c r="N164" s="189" t="s">
        <v>507</v>
      </c>
      <c r="O164" s="202" t="s">
        <v>554</v>
      </c>
      <c r="P164" s="203"/>
      <c r="Q164" s="192">
        <v>100</v>
      </c>
      <c r="R164" s="193">
        <v>4490</v>
      </c>
      <c r="S164" s="195"/>
      <c r="T164" s="194">
        <v>1</v>
      </c>
      <c r="U164" s="193">
        <v>4490</v>
      </c>
      <c r="V164" s="196">
        <f t="shared" si="28"/>
        <v>40575</v>
      </c>
      <c r="W164" s="197">
        <f t="shared" si="35"/>
        <v>155</v>
      </c>
      <c r="X164" s="197"/>
      <c r="Y164" s="198">
        <f t="shared" si="29"/>
        <v>1</v>
      </c>
      <c r="Z164" s="199">
        <f t="shared" si="36"/>
        <v>4490</v>
      </c>
      <c r="AA164" s="198">
        <f t="shared" si="30"/>
        <v>0</v>
      </c>
      <c r="AB164" s="199">
        <f t="shared" si="37"/>
        <v>0</v>
      </c>
      <c r="AC164" s="198">
        <f t="shared" si="31"/>
        <v>0</v>
      </c>
      <c r="AD164" s="199">
        <f t="shared" si="38"/>
        <v>0</v>
      </c>
      <c r="AE164" s="198">
        <f t="shared" si="32"/>
        <v>0</v>
      </c>
      <c r="AF164" s="199">
        <f t="shared" si="39"/>
        <v>0</v>
      </c>
      <c r="AG164" s="198">
        <f t="shared" si="33"/>
        <v>0</v>
      </c>
      <c r="AH164" s="199">
        <f t="shared" si="40"/>
        <v>0</v>
      </c>
      <c r="AI164" s="198">
        <f t="shared" si="34"/>
        <v>0</v>
      </c>
      <c r="AJ164" s="199">
        <f t="shared" si="41"/>
        <v>0</v>
      </c>
    </row>
    <row r="165" spans="1:36" ht="21.75" customHeight="1" x14ac:dyDescent="0.25">
      <c r="A165" s="185" t="s">
        <v>912</v>
      </c>
      <c r="B165" s="185" t="s">
        <v>776</v>
      </c>
      <c r="C165" s="185" t="s">
        <v>499</v>
      </c>
      <c r="D165" s="186" t="s">
        <v>500</v>
      </c>
      <c r="E165" s="185" t="s">
        <v>509</v>
      </c>
      <c r="F165" s="187">
        <v>162</v>
      </c>
      <c r="G165" s="188" t="s">
        <v>825</v>
      </c>
      <c r="H165" s="189" t="s">
        <v>836</v>
      </c>
      <c r="I165" s="212" t="s">
        <v>946</v>
      </c>
      <c r="J165" s="183"/>
      <c r="K165" s="183"/>
      <c r="L165" s="189" t="s">
        <v>534</v>
      </c>
      <c r="M165" s="183" t="s">
        <v>827</v>
      </c>
      <c r="N165" s="189" t="s">
        <v>507</v>
      </c>
      <c r="O165" s="202" t="s">
        <v>554</v>
      </c>
      <c r="P165" s="203"/>
      <c r="Q165" s="192">
        <v>100</v>
      </c>
      <c r="R165" s="193">
        <v>4490</v>
      </c>
      <c r="S165" s="195"/>
      <c r="T165" s="194">
        <v>1</v>
      </c>
      <c r="U165" s="193">
        <v>4490</v>
      </c>
      <c r="V165" s="196">
        <f t="shared" si="28"/>
        <v>40575</v>
      </c>
      <c r="W165" s="197">
        <f t="shared" si="35"/>
        <v>155</v>
      </c>
      <c r="X165" s="197"/>
      <c r="Y165" s="198">
        <f t="shared" si="29"/>
        <v>1</v>
      </c>
      <c r="Z165" s="199">
        <f t="shared" si="36"/>
        <v>4490</v>
      </c>
      <c r="AA165" s="198">
        <f t="shared" si="30"/>
        <v>0</v>
      </c>
      <c r="AB165" s="199">
        <f t="shared" si="37"/>
        <v>0</v>
      </c>
      <c r="AC165" s="198">
        <f t="shared" si="31"/>
        <v>0</v>
      </c>
      <c r="AD165" s="199">
        <f t="shared" si="38"/>
        <v>0</v>
      </c>
      <c r="AE165" s="198">
        <f t="shared" si="32"/>
        <v>0</v>
      </c>
      <c r="AF165" s="199">
        <f t="shared" si="39"/>
        <v>0</v>
      </c>
      <c r="AG165" s="198">
        <f t="shared" si="33"/>
        <v>0</v>
      </c>
      <c r="AH165" s="199">
        <f t="shared" si="40"/>
        <v>0</v>
      </c>
      <c r="AI165" s="198">
        <f t="shared" si="34"/>
        <v>0</v>
      </c>
      <c r="AJ165" s="199">
        <f t="shared" si="41"/>
        <v>0</v>
      </c>
    </row>
    <row r="166" spans="1:36" ht="21.75" customHeight="1" x14ac:dyDescent="0.25">
      <c r="A166" s="185" t="s">
        <v>912</v>
      </c>
      <c r="B166" s="185" t="s">
        <v>776</v>
      </c>
      <c r="C166" s="185" t="s">
        <v>499</v>
      </c>
      <c r="D166" s="186" t="s">
        <v>500</v>
      </c>
      <c r="E166" s="185" t="s">
        <v>509</v>
      </c>
      <c r="F166" s="187">
        <v>163</v>
      </c>
      <c r="G166" s="188" t="s">
        <v>825</v>
      </c>
      <c r="H166" s="189" t="s">
        <v>837</v>
      </c>
      <c r="I166" s="212" t="s">
        <v>946</v>
      </c>
      <c r="J166" s="183"/>
      <c r="K166" s="183"/>
      <c r="L166" s="189" t="s">
        <v>534</v>
      </c>
      <c r="M166" s="183" t="s">
        <v>827</v>
      </c>
      <c r="N166" s="189" t="s">
        <v>507</v>
      </c>
      <c r="O166" s="202" t="s">
        <v>554</v>
      </c>
      <c r="P166" s="203"/>
      <c r="Q166" s="192">
        <v>100</v>
      </c>
      <c r="R166" s="193">
        <v>4490</v>
      </c>
      <c r="S166" s="195"/>
      <c r="T166" s="194">
        <v>1</v>
      </c>
      <c r="U166" s="193">
        <v>4490</v>
      </c>
      <c r="V166" s="196">
        <f t="shared" si="28"/>
        <v>40575</v>
      </c>
      <c r="W166" s="197">
        <f t="shared" si="35"/>
        <v>155</v>
      </c>
      <c r="X166" s="197"/>
      <c r="Y166" s="198">
        <f t="shared" si="29"/>
        <v>1</v>
      </c>
      <c r="Z166" s="199">
        <f t="shared" si="36"/>
        <v>4490</v>
      </c>
      <c r="AA166" s="198">
        <f t="shared" si="30"/>
        <v>0</v>
      </c>
      <c r="AB166" s="199">
        <f t="shared" si="37"/>
        <v>0</v>
      </c>
      <c r="AC166" s="198">
        <f t="shared" si="31"/>
        <v>0</v>
      </c>
      <c r="AD166" s="199">
        <f t="shared" si="38"/>
        <v>0</v>
      </c>
      <c r="AE166" s="198">
        <f t="shared" si="32"/>
        <v>0</v>
      </c>
      <c r="AF166" s="199">
        <f t="shared" si="39"/>
        <v>0</v>
      </c>
      <c r="AG166" s="198">
        <f t="shared" si="33"/>
        <v>0</v>
      </c>
      <c r="AH166" s="199">
        <f t="shared" si="40"/>
        <v>0</v>
      </c>
      <c r="AI166" s="198">
        <f t="shared" si="34"/>
        <v>0</v>
      </c>
      <c r="AJ166" s="199">
        <f t="shared" si="41"/>
        <v>0</v>
      </c>
    </row>
    <row r="167" spans="1:36" ht="21.75" customHeight="1" x14ac:dyDescent="0.25">
      <c r="A167" s="185" t="s">
        <v>912</v>
      </c>
      <c r="B167" s="185" t="s">
        <v>776</v>
      </c>
      <c r="C167" s="185" t="s">
        <v>499</v>
      </c>
      <c r="D167" s="186" t="s">
        <v>500</v>
      </c>
      <c r="E167" s="185" t="s">
        <v>509</v>
      </c>
      <c r="F167" s="187">
        <v>164</v>
      </c>
      <c r="G167" s="188" t="s">
        <v>825</v>
      </c>
      <c r="H167" s="189" t="s">
        <v>838</v>
      </c>
      <c r="I167" s="212" t="s">
        <v>946</v>
      </c>
      <c r="J167" s="183"/>
      <c r="K167" s="183"/>
      <c r="L167" s="189" t="s">
        <v>534</v>
      </c>
      <c r="M167" s="183" t="s">
        <v>827</v>
      </c>
      <c r="N167" s="189" t="s">
        <v>507</v>
      </c>
      <c r="O167" s="202" t="s">
        <v>554</v>
      </c>
      <c r="P167" s="203"/>
      <c r="Q167" s="192">
        <v>100</v>
      </c>
      <c r="R167" s="193">
        <v>4490</v>
      </c>
      <c r="S167" s="195"/>
      <c r="T167" s="194">
        <v>1</v>
      </c>
      <c r="U167" s="193">
        <v>4490</v>
      </c>
      <c r="V167" s="196">
        <f t="shared" si="28"/>
        <v>40575</v>
      </c>
      <c r="W167" s="197">
        <f t="shared" si="35"/>
        <v>155</v>
      </c>
      <c r="X167" s="197"/>
      <c r="Y167" s="198">
        <f t="shared" si="29"/>
        <v>1</v>
      </c>
      <c r="Z167" s="199">
        <f t="shared" si="36"/>
        <v>4490</v>
      </c>
      <c r="AA167" s="198">
        <f t="shared" si="30"/>
        <v>0</v>
      </c>
      <c r="AB167" s="199">
        <f t="shared" si="37"/>
        <v>0</v>
      </c>
      <c r="AC167" s="198">
        <f t="shared" si="31"/>
        <v>0</v>
      </c>
      <c r="AD167" s="199">
        <f t="shared" si="38"/>
        <v>0</v>
      </c>
      <c r="AE167" s="198">
        <f t="shared" si="32"/>
        <v>0</v>
      </c>
      <c r="AF167" s="199">
        <f t="shared" si="39"/>
        <v>0</v>
      </c>
      <c r="AG167" s="198">
        <f t="shared" si="33"/>
        <v>0</v>
      </c>
      <c r="AH167" s="199">
        <f t="shared" si="40"/>
        <v>0</v>
      </c>
      <c r="AI167" s="198">
        <f t="shared" si="34"/>
        <v>0</v>
      </c>
      <c r="AJ167" s="199">
        <f t="shared" si="41"/>
        <v>0</v>
      </c>
    </row>
    <row r="168" spans="1:36" ht="21.75" customHeight="1" x14ac:dyDescent="0.25">
      <c r="A168" s="185" t="s">
        <v>912</v>
      </c>
      <c r="B168" s="185" t="s">
        <v>776</v>
      </c>
      <c r="C168" s="185" t="s">
        <v>499</v>
      </c>
      <c r="D168" s="186" t="s">
        <v>500</v>
      </c>
      <c r="E168" s="185" t="s">
        <v>509</v>
      </c>
      <c r="F168" s="187">
        <v>165</v>
      </c>
      <c r="G168" s="188" t="s">
        <v>825</v>
      </c>
      <c r="H168" s="189" t="s">
        <v>839</v>
      </c>
      <c r="I168" s="212" t="s">
        <v>946</v>
      </c>
      <c r="J168" s="183"/>
      <c r="K168" s="183"/>
      <c r="L168" s="189" t="s">
        <v>534</v>
      </c>
      <c r="M168" s="183" t="s">
        <v>827</v>
      </c>
      <c r="N168" s="189" t="s">
        <v>507</v>
      </c>
      <c r="O168" s="202" t="s">
        <v>554</v>
      </c>
      <c r="P168" s="203"/>
      <c r="Q168" s="192">
        <v>100</v>
      </c>
      <c r="R168" s="193">
        <v>4490</v>
      </c>
      <c r="S168" s="195"/>
      <c r="T168" s="194">
        <v>1</v>
      </c>
      <c r="U168" s="193">
        <v>4490</v>
      </c>
      <c r="V168" s="196">
        <f t="shared" si="28"/>
        <v>40575</v>
      </c>
      <c r="W168" s="197">
        <f t="shared" si="35"/>
        <v>155</v>
      </c>
      <c r="X168" s="197"/>
      <c r="Y168" s="198">
        <f t="shared" si="29"/>
        <v>1</v>
      </c>
      <c r="Z168" s="199">
        <f t="shared" si="36"/>
        <v>4490</v>
      </c>
      <c r="AA168" s="198">
        <f t="shared" si="30"/>
        <v>0</v>
      </c>
      <c r="AB168" s="199">
        <f t="shared" si="37"/>
        <v>0</v>
      </c>
      <c r="AC168" s="198">
        <f t="shared" si="31"/>
        <v>0</v>
      </c>
      <c r="AD168" s="199">
        <f t="shared" si="38"/>
        <v>0</v>
      </c>
      <c r="AE168" s="198">
        <f t="shared" si="32"/>
        <v>0</v>
      </c>
      <c r="AF168" s="199">
        <f t="shared" si="39"/>
        <v>0</v>
      </c>
      <c r="AG168" s="198">
        <f t="shared" si="33"/>
        <v>0</v>
      </c>
      <c r="AH168" s="199">
        <f t="shared" si="40"/>
        <v>0</v>
      </c>
      <c r="AI168" s="198">
        <f t="shared" si="34"/>
        <v>0</v>
      </c>
      <c r="AJ168" s="199">
        <f t="shared" si="41"/>
        <v>0</v>
      </c>
    </row>
    <row r="169" spans="1:36" ht="21.75" customHeight="1" x14ac:dyDescent="0.25">
      <c r="A169" s="185" t="s">
        <v>912</v>
      </c>
      <c r="B169" s="185" t="s">
        <v>776</v>
      </c>
      <c r="C169" s="185" t="s">
        <v>499</v>
      </c>
      <c r="D169" s="186" t="s">
        <v>500</v>
      </c>
      <c r="E169" s="185" t="s">
        <v>509</v>
      </c>
      <c r="F169" s="187">
        <v>166</v>
      </c>
      <c r="G169" s="188" t="s">
        <v>825</v>
      </c>
      <c r="H169" s="189" t="s">
        <v>840</v>
      </c>
      <c r="I169" s="212" t="s">
        <v>946</v>
      </c>
      <c r="J169" s="183"/>
      <c r="K169" s="183"/>
      <c r="L169" s="189" t="s">
        <v>534</v>
      </c>
      <c r="M169" s="183" t="s">
        <v>827</v>
      </c>
      <c r="N169" s="189" t="s">
        <v>507</v>
      </c>
      <c r="O169" s="202" t="s">
        <v>554</v>
      </c>
      <c r="P169" s="203"/>
      <c r="Q169" s="192">
        <v>100</v>
      </c>
      <c r="R169" s="193">
        <v>4490</v>
      </c>
      <c r="S169" s="195"/>
      <c r="T169" s="194">
        <v>1</v>
      </c>
      <c r="U169" s="193">
        <v>4490</v>
      </c>
      <c r="V169" s="196">
        <f t="shared" si="28"/>
        <v>40575</v>
      </c>
      <c r="W169" s="197">
        <f t="shared" si="35"/>
        <v>155</v>
      </c>
      <c r="X169" s="197"/>
      <c r="Y169" s="198">
        <f t="shared" si="29"/>
        <v>1</v>
      </c>
      <c r="Z169" s="199">
        <f t="shared" si="36"/>
        <v>4490</v>
      </c>
      <c r="AA169" s="198">
        <f t="shared" si="30"/>
        <v>0</v>
      </c>
      <c r="AB169" s="199">
        <f t="shared" si="37"/>
        <v>0</v>
      </c>
      <c r="AC169" s="198">
        <f t="shared" si="31"/>
        <v>0</v>
      </c>
      <c r="AD169" s="199">
        <f t="shared" si="38"/>
        <v>0</v>
      </c>
      <c r="AE169" s="198">
        <f t="shared" si="32"/>
        <v>0</v>
      </c>
      <c r="AF169" s="199">
        <f t="shared" si="39"/>
        <v>0</v>
      </c>
      <c r="AG169" s="198">
        <f t="shared" si="33"/>
        <v>0</v>
      </c>
      <c r="AH169" s="199">
        <f t="shared" si="40"/>
        <v>0</v>
      </c>
      <c r="AI169" s="198">
        <f t="shared" si="34"/>
        <v>0</v>
      </c>
      <c r="AJ169" s="199">
        <f t="shared" si="41"/>
        <v>0</v>
      </c>
    </row>
    <row r="170" spans="1:36" ht="21.75" customHeight="1" x14ac:dyDescent="0.25">
      <c r="A170" s="185" t="s">
        <v>912</v>
      </c>
      <c r="B170" s="185" t="s">
        <v>776</v>
      </c>
      <c r="C170" s="185" t="s">
        <v>499</v>
      </c>
      <c r="D170" s="186" t="s">
        <v>500</v>
      </c>
      <c r="E170" s="185" t="s">
        <v>509</v>
      </c>
      <c r="F170" s="187">
        <v>167</v>
      </c>
      <c r="G170" s="188" t="s">
        <v>825</v>
      </c>
      <c r="H170" s="189" t="s">
        <v>841</v>
      </c>
      <c r="I170" s="212" t="s">
        <v>946</v>
      </c>
      <c r="J170" s="183"/>
      <c r="K170" s="183"/>
      <c r="L170" s="189" t="s">
        <v>534</v>
      </c>
      <c r="M170" s="183" t="s">
        <v>827</v>
      </c>
      <c r="N170" s="189" t="s">
        <v>507</v>
      </c>
      <c r="O170" s="202" t="s">
        <v>554</v>
      </c>
      <c r="P170" s="203"/>
      <c r="Q170" s="192">
        <v>100</v>
      </c>
      <c r="R170" s="193">
        <v>4490</v>
      </c>
      <c r="S170" s="195"/>
      <c r="T170" s="194">
        <v>1</v>
      </c>
      <c r="U170" s="193">
        <v>4490</v>
      </c>
      <c r="V170" s="196">
        <f t="shared" si="28"/>
        <v>40575</v>
      </c>
      <c r="W170" s="197">
        <f t="shared" si="35"/>
        <v>155</v>
      </c>
      <c r="X170" s="197"/>
      <c r="Y170" s="198">
        <f t="shared" si="29"/>
        <v>1</v>
      </c>
      <c r="Z170" s="199">
        <f t="shared" si="36"/>
        <v>4490</v>
      </c>
      <c r="AA170" s="198">
        <f t="shared" si="30"/>
        <v>0</v>
      </c>
      <c r="AB170" s="199">
        <f t="shared" si="37"/>
        <v>0</v>
      </c>
      <c r="AC170" s="198">
        <f t="shared" si="31"/>
        <v>0</v>
      </c>
      <c r="AD170" s="199">
        <f t="shared" si="38"/>
        <v>0</v>
      </c>
      <c r="AE170" s="198">
        <f t="shared" si="32"/>
        <v>0</v>
      </c>
      <c r="AF170" s="199">
        <f t="shared" si="39"/>
        <v>0</v>
      </c>
      <c r="AG170" s="198">
        <f t="shared" si="33"/>
        <v>0</v>
      </c>
      <c r="AH170" s="199">
        <f t="shared" si="40"/>
        <v>0</v>
      </c>
      <c r="AI170" s="198">
        <f t="shared" si="34"/>
        <v>0</v>
      </c>
      <c r="AJ170" s="199">
        <f t="shared" si="41"/>
        <v>0</v>
      </c>
    </row>
    <row r="171" spans="1:36" ht="21.75" customHeight="1" x14ac:dyDescent="0.25">
      <c r="A171" s="185" t="s">
        <v>912</v>
      </c>
      <c r="B171" s="185" t="s">
        <v>776</v>
      </c>
      <c r="C171" s="185" t="s">
        <v>499</v>
      </c>
      <c r="D171" s="186" t="s">
        <v>500</v>
      </c>
      <c r="E171" s="185" t="s">
        <v>509</v>
      </c>
      <c r="F171" s="187">
        <v>168</v>
      </c>
      <c r="G171" s="188" t="s">
        <v>825</v>
      </c>
      <c r="H171" s="189" t="s">
        <v>842</v>
      </c>
      <c r="I171" s="212" t="s">
        <v>946</v>
      </c>
      <c r="J171" s="183"/>
      <c r="K171" s="183"/>
      <c r="L171" s="189" t="s">
        <v>534</v>
      </c>
      <c r="M171" s="183" t="s">
        <v>827</v>
      </c>
      <c r="N171" s="189" t="s">
        <v>507</v>
      </c>
      <c r="O171" s="202" t="s">
        <v>554</v>
      </c>
      <c r="P171" s="203"/>
      <c r="Q171" s="192">
        <v>100</v>
      </c>
      <c r="R171" s="193">
        <v>4490</v>
      </c>
      <c r="S171" s="195"/>
      <c r="T171" s="194">
        <v>1</v>
      </c>
      <c r="U171" s="193">
        <v>4490</v>
      </c>
      <c r="V171" s="196">
        <f t="shared" si="28"/>
        <v>40575</v>
      </c>
      <c r="W171" s="197">
        <f t="shared" si="35"/>
        <v>155</v>
      </c>
      <c r="X171" s="197"/>
      <c r="Y171" s="198">
        <f t="shared" si="29"/>
        <v>1</v>
      </c>
      <c r="Z171" s="199">
        <f t="shared" si="36"/>
        <v>4490</v>
      </c>
      <c r="AA171" s="198">
        <f t="shared" si="30"/>
        <v>0</v>
      </c>
      <c r="AB171" s="199">
        <f t="shared" si="37"/>
        <v>0</v>
      </c>
      <c r="AC171" s="198">
        <f t="shared" si="31"/>
        <v>0</v>
      </c>
      <c r="AD171" s="199">
        <f t="shared" si="38"/>
        <v>0</v>
      </c>
      <c r="AE171" s="198">
        <f t="shared" si="32"/>
        <v>0</v>
      </c>
      <c r="AF171" s="199">
        <f t="shared" si="39"/>
        <v>0</v>
      </c>
      <c r="AG171" s="198">
        <f t="shared" si="33"/>
        <v>0</v>
      </c>
      <c r="AH171" s="199">
        <f t="shared" si="40"/>
        <v>0</v>
      </c>
      <c r="AI171" s="198">
        <f t="shared" si="34"/>
        <v>0</v>
      </c>
      <c r="AJ171" s="199">
        <f t="shared" si="41"/>
        <v>0</v>
      </c>
    </row>
    <row r="172" spans="1:36" ht="21.75" customHeight="1" x14ac:dyDescent="0.25">
      <c r="A172" s="185" t="s">
        <v>912</v>
      </c>
      <c r="B172" s="185" t="s">
        <v>776</v>
      </c>
      <c r="C172" s="185" t="s">
        <v>499</v>
      </c>
      <c r="D172" s="186" t="s">
        <v>500</v>
      </c>
      <c r="E172" s="185" t="s">
        <v>509</v>
      </c>
      <c r="F172" s="187">
        <v>169</v>
      </c>
      <c r="G172" s="188" t="s">
        <v>825</v>
      </c>
      <c r="H172" s="189" t="s">
        <v>831</v>
      </c>
      <c r="I172" s="212" t="s">
        <v>946</v>
      </c>
      <c r="J172" s="183"/>
      <c r="K172" s="183"/>
      <c r="L172" s="189" t="s">
        <v>534</v>
      </c>
      <c r="M172" s="183" t="s">
        <v>827</v>
      </c>
      <c r="N172" s="189" t="s">
        <v>507</v>
      </c>
      <c r="O172" s="202" t="s">
        <v>554</v>
      </c>
      <c r="P172" s="203"/>
      <c r="Q172" s="192">
        <v>100</v>
      </c>
      <c r="R172" s="193">
        <v>4490</v>
      </c>
      <c r="S172" s="195"/>
      <c r="T172" s="194">
        <v>1</v>
      </c>
      <c r="U172" s="193">
        <v>4490</v>
      </c>
      <c r="V172" s="196">
        <f t="shared" si="28"/>
        <v>40575</v>
      </c>
      <c r="W172" s="197">
        <f t="shared" si="35"/>
        <v>155</v>
      </c>
      <c r="X172" s="197"/>
      <c r="Y172" s="198">
        <f t="shared" si="29"/>
        <v>1</v>
      </c>
      <c r="Z172" s="199">
        <f t="shared" si="36"/>
        <v>4490</v>
      </c>
      <c r="AA172" s="198">
        <f t="shared" si="30"/>
        <v>0</v>
      </c>
      <c r="AB172" s="199">
        <f t="shared" si="37"/>
        <v>0</v>
      </c>
      <c r="AC172" s="198">
        <f t="shared" si="31"/>
        <v>0</v>
      </c>
      <c r="AD172" s="199">
        <f t="shared" si="38"/>
        <v>0</v>
      </c>
      <c r="AE172" s="198">
        <f t="shared" si="32"/>
        <v>0</v>
      </c>
      <c r="AF172" s="199">
        <f t="shared" si="39"/>
        <v>0</v>
      </c>
      <c r="AG172" s="198">
        <f t="shared" si="33"/>
        <v>0</v>
      </c>
      <c r="AH172" s="199">
        <f t="shared" si="40"/>
        <v>0</v>
      </c>
      <c r="AI172" s="198">
        <f t="shared" si="34"/>
        <v>0</v>
      </c>
      <c r="AJ172" s="199">
        <f t="shared" si="41"/>
        <v>0</v>
      </c>
    </row>
    <row r="173" spans="1:36" ht="21.75" customHeight="1" x14ac:dyDescent="0.25">
      <c r="A173" s="185" t="s">
        <v>912</v>
      </c>
      <c r="B173" s="185" t="s">
        <v>776</v>
      </c>
      <c r="C173" s="185" t="s">
        <v>499</v>
      </c>
      <c r="D173" s="186" t="s">
        <v>500</v>
      </c>
      <c r="E173" s="185" t="s">
        <v>509</v>
      </c>
      <c r="F173" s="187">
        <v>170</v>
      </c>
      <c r="G173" s="188" t="s">
        <v>825</v>
      </c>
      <c r="H173" s="189" t="s">
        <v>844</v>
      </c>
      <c r="I173" s="212" t="s">
        <v>946</v>
      </c>
      <c r="J173" s="183"/>
      <c r="K173" s="183"/>
      <c r="L173" s="189" t="s">
        <v>534</v>
      </c>
      <c r="M173" s="183" t="s">
        <v>827</v>
      </c>
      <c r="N173" s="189" t="s">
        <v>507</v>
      </c>
      <c r="O173" s="202" t="s">
        <v>554</v>
      </c>
      <c r="P173" s="203"/>
      <c r="Q173" s="192">
        <v>100</v>
      </c>
      <c r="R173" s="193">
        <v>4490</v>
      </c>
      <c r="S173" s="195"/>
      <c r="T173" s="194">
        <v>1</v>
      </c>
      <c r="U173" s="193">
        <v>4490</v>
      </c>
      <c r="V173" s="196">
        <f t="shared" si="28"/>
        <v>40575</v>
      </c>
      <c r="W173" s="197">
        <f t="shared" si="35"/>
        <v>155</v>
      </c>
      <c r="X173" s="197"/>
      <c r="Y173" s="198">
        <f t="shared" si="29"/>
        <v>1</v>
      </c>
      <c r="Z173" s="199">
        <f t="shared" si="36"/>
        <v>4490</v>
      </c>
      <c r="AA173" s="198">
        <f t="shared" si="30"/>
        <v>0</v>
      </c>
      <c r="AB173" s="199">
        <f t="shared" si="37"/>
        <v>0</v>
      </c>
      <c r="AC173" s="198">
        <f t="shared" si="31"/>
        <v>0</v>
      </c>
      <c r="AD173" s="199">
        <f t="shared" si="38"/>
        <v>0</v>
      </c>
      <c r="AE173" s="198">
        <f t="shared" si="32"/>
        <v>0</v>
      </c>
      <c r="AF173" s="199">
        <f t="shared" si="39"/>
        <v>0</v>
      </c>
      <c r="AG173" s="198">
        <f t="shared" si="33"/>
        <v>0</v>
      </c>
      <c r="AH173" s="199">
        <f t="shared" si="40"/>
        <v>0</v>
      </c>
      <c r="AI173" s="198">
        <f t="shared" si="34"/>
        <v>0</v>
      </c>
      <c r="AJ173" s="199">
        <f t="shared" si="41"/>
        <v>0</v>
      </c>
    </row>
    <row r="174" spans="1:36" ht="21.75" customHeight="1" x14ac:dyDescent="0.25">
      <c r="A174" s="185" t="s">
        <v>912</v>
      </c>
      <c r="B174" s="185" t="s">
        <v>776</v>
      </c>
      <c r="C174" s="185" t="s">
        <v>499</v>
      </c>
      <c r="D174" s="186" t="s">
        <v>500</v>
      </c>
      <c r="E174" s="185" t="s">
        <v>509</v>
      </c>
      <c r="F174" s="187">
        <v>171</v>
      </c>
      <c r="G174" s="188" t="s">
        <v>825</v>
      </c>
      <c r="H174" s="189" t="s">
        <v>843</v>
      </c>
      <c r="I174" s="212" t="s">
        <v>946</v>
      </c>
      <c r="J174" s="183"/>
      <c r="K174" s="183"/>
      <c r="L174" s="189" t="s">
        <v>534</v>
      </c>
      <c r="M174" s="183" t="s">
        <v>827</v>
      </c>
      <c r="N174" s="189" t="s">
        <v>507</v>
      </c>
      <c r="O174" s="202" t="s">
        <v>554</v>
      </c>
      <c r="P174" s="203"/>
      <c r="Q174" s="192">
        <v>100</v>
      </c>
      <c r="R174" s="193">
        <v>4490</v>
      </c>
      <c r="S174" s="195"/>
      <c r="T174" s="194">
        <v>1</v>
      </c>
      <c r="U174" s="193">
        <v>4490</v>
      </c>
      <c r="V174" s="196">
        <f t="shared" si="28"/>
        <v>40575</v>
      </c>
      <c r="W174" s="197">
        <f t="shared" si="35"/>
        <v>155</v>
      </c>
      <c r="X174" s="197"/>
      <c r="Y174" s="198">
        <f t="shared" si="29"/>
        <v>1</v>
      </c>
      <c r="Z174" s="199">
        <f t="shared" si="36"/>
        <v>4490</v>
      </c>
      <c r="AA174" s="198">
        <f t="shared" si="30"/>
        <v>0</v>
      </c>
      <c r="AB174" s="199">
        <f t="shared" si="37"/>
        <v>0</v>
      </c>
      <c r="AC174" s="198">
        <f t="shared" si="31"/>
        <v>0</v>
      </c>
      <c r="AD174" s="199">
        <f t="shared" si="38"/>
        <v>0</v>
      </c>
      <c r="AE174" s="198">
        <f t="shared" si="32"/>
        <v>0</v>
      </c>
      <c r="AF174" s="199">
        <f t="shared" si="39"/>
        <v>0</v>
      </c>
      <c r="AG174" s="198">
        <f t="shared" si="33"/>
        <v>0</v>
      </c>
      <c r="AH174" s="199">
        <f t="shared" si="40"/>
        <v>0</v>
      </c>
      <c r="AI174" s="198">
        <f t="shared" si="34"/>
        <v>0</v>
      </c>
      <c r="AJ174" s="199">
        <f t="shared" si="41"/>
        <v>0</v>
      </c>
    </row>
    <row r="175" spans="1:36" ht="21.75" customHeight="1" x14ac:dyDescent="0.25">
      <c r="A175" s="185" t="s">
        <v>912</v>
      </c>
      <c r="B175" s="185" t="s">
        <v>776</v>
      </c>
      <c r="C175" s="185" t="s">
        <v>499</v>
      </c>
      <c r="D175" s="186" t="s">
        <v>500</v>
      </c>
      <c r="E175" s="185" t="s">
        <v>509</v>
      </c>
      <c r="F175" s="187">
        <v>172</v>
      </c>
      <c r="G175" s="188" t="s">
        <v>825</v>
      </c>
      <c r="H175" s="189" t="s">
        <v>826</v>
      </c>
      <c r="I175" s="212" t="s">
        <v>946</v>
      </c>
      <c r="J175" s="183"/>
      <c r="K175" s="183"/>
      <c r="L175" s="189" t="s">
        <v>534</v>
      </c>
      <c r="M175" s="183" t="s">
        <v>827</v>
      </c>
      <c r="N175" s="189" t="s">
        <v>507</v>
      </c>
      <c r="O175" s="202" t="s">
        <v>554</v>
      </c>
      <c r="P175" s="203"/>
      <c r="Q175" s="192">
        <v>100</v>
      </c>
      <c r="R175" s="193">
        <v>4490</v>
      </c>
      <c r="S175" s="195"/>
      <c r="T175" s="194">
        <v>1</v>
      </c>
      <c r="U175" s="193">
        <v>4490</v>
      </c>
      <c r="V175" s="196">
        <f t="shared" si="28"/>
        <v>40575</v>
      </c>
      <c r="W175" s="197">
        <f t="shared" si="35"/>
        <v>155</v>
      </c>
      <c r="X175" s="197"/>
      <c r="Y175" s="198">
        <f t="shared" si="29"/>
        <v>1</v>
      </c>
      <c r="Z175" s="199">
        <f t="shared" si="36"/>
        <v>4490</v>
      </c>
      <c r="AA175" s="198">
        <f t="shared" si="30"/>
        <v>0</v>
      </c>
      <c r="AB175" s="199">
        <f t="shared" si="37"/>
        <v>0</v>
      </c>
      <c r="AC175" s="198">
        <f t="shared" si="31"/>
        <v>0</v>
      </c>
      <c r="AD175" s="199">
        <f t="shared" si="38"/>
        <v>0</v>
      </c>
      <c r="AE175" s="198">
        <f t="shared" si="32"/>
        <v>0</v>
      </c>
      <c r="AF175" s="199">
        <f t="shared" si="39"/>
        <v>0</v>
      </c>
      <c r="AG175" s="198">
        <f t="shared" si="33"/>
        <v>0</v>
      </c>
      <c r="AH175" s="199">
        <f t="shared" si="40"/>
        <v>0</v>
      </c>
      <c r="AI175" s="198">
        <f t="shared" si="34"/>
        <v>0</v>
      </c>
      <c r="AJ175" s="199">
        <f t="shared" si="41"/>
        <v>0</v>
      </c>
    </row>
    <row r="176" spans="1:36" ht="21.75" customHeight="1" x14ac:dyDescent="0.25">
      <c r="A176" s="185" t="s">
        <v>912</v>
      </c>
      <c r="B176" s="185" t="s">
        <v>776</v>
      </c>
      <c r="C176" s="185" t="s">
        <v>499</v>
      </c>
      <c r="D176" s="186" t="s">
        <v>500</v>
      </c>
      <c r="E176" s="185" t="s">
        <v>509</v>
      </c>
      <c r="F176" s="187">
        <v>173</v>
      </c>
      <c r="G176" s="188" t="s">
        <v>825</v>
      </c>
      <c r="H176" s="189" t="s">
        <v>828</v>
      </c>
      <c r="I176" s="212" t="s">
        <v>946</v>
      </c>
      <c r="J176" s="183"/>
      <c r="K176" s="183"/>
      <c r="L176" s="189" t="s">
        <v>534</v>
      </c>
      <c r="M176" s="183" t="s">
        <v>827</v>
      </c>
      <c r="N176" s="189" t="s">
        <v>507</v>
      </c>
      <c r="O176" s="202" t="s">
        <v>554</v>
      </c>
      <c r="P176" s="203"/>
      <c r="Q176" s="192">
        <v>100</v>
      </c>
      <c r="R176" s="193">
        <v>4490</v>
      </c>
      <c r="S176" s="195"/>
      <c r="T176" s="194">
        <v>1</v>
      </c>
      <c r="U176" s="193">
        <v>4490</v>
      </c>
      <c r="V176" s="196">
        <f t="shared" si="28"/>
        <v>40575</v>
      </c>
      <c r="W176" s="197">
        <f t="shared" si="35"/>
        <v>155</v>
      </c>
      <c r="X176" s="197"/>
      <c r="Y176" s="198">
        <f t="shared" si="29"/>
        <v>1</v>
      </c>
      <c r="Z176" s="199">
        <f t="shared" si="36"/>
        <v>4490</v>
      </c>
      <c r="AA176" s="198">
        <f t="shared" si="30"/>
        <v>0</v>
      </c>
      <c r="AB176" s="199">
        <f t="shared" si="37"/>
        <v>0</v>
      </c>
      <c r="AC176" s="198">
        <f t="shared" si="31"/>
        <v>0</v>
      </c>
      <c r="AD176" s="199">
        <f t="shared" si="38"/>
        <v>0</v>
      </c>
      <c r="AE176" s="198">
        <f t="shared" si="32"/>
        <v>0</v>
      </c>
      <c r="AF176" s="199">
        <f t="shared" si="39"/>
        <v>0</v>
      </c>
      <c r="AG176" s="198">
        <f t="shared" si="33"/>
        <v>0</v>
      </c>
      <c r="AH176" s="199">
        <f t="shared" si="40"/>
        <v>0</v>
      </c>
      <c r="AI176" s="198">
        <f t="shared" si="34"/>
        <v>0</v>
      </c>
      <c r="AJ176" s="199">
        <f t="shared" si="41"/>
        <v>0</v>
      </c>
    </row>
    <row r="177" spans="1:36" ht="21.75" customHeight="1" x14ac:dyDescent="0.25">
      <c r="A177" s="185" t="s">
        <v>912</v>
      </c>
      <c r="B177" s="185" t="s">
        <v>776</v>
      </c>
      <c r="C177" s="185" t="s">
        <v>499</v>
      </c>
      <c r="D177" s="186" t="s">
        <v>500</v>
      </c>
      <c r="E177" s="185" t="s">
        <v>509</v>
      </c>
      <c r="F177" s="187">
        <v>174</v>
      </c>
      <c r="G177" s="188" t="s">
        <v>825</v>
      </c>
      <c r="H177" s="189" t="s">
        <v>829</v>
      </c>
      <c r="I177" s="212" t="s">
        <v>946</v>
      </c>
      <c r="J177" s="183"/>
      <c r="K177" s="183"/>
      <c r="L177" s="189" t="s">
        <v>534</v>
      </c>
      <c r="M177" s="183" t="s">
        <v>827</v>
      </c>
      <c r="N177" s="189" t="s">
        <v>507</v>
      </c>
      <c r="O177" s="202" t="s">
        <v>554</v>
      </c>
      <c r="P177" s="203"/>
      <c r="Q177" s="192">
        <v>100</v>
      </c>
      <c r="R177" s="193">
        <v>4490</v>
      </c>
      <c r="S177" s="195"/>
      <c r="T177" s="194">
        <v>1</v>
      </c>
      <c r="U177" s="193">
        <v>4490</v>
      </c>
      <c r="V177" s="196">
        <f t="shared" si="28"/>
        <v>40575</v>
      </c>
      <c r="W177" s="197">
        <f t="shared" si="35"/>
        <v>155</v>
      </c>
      <c r="X177" s="197"/>
      <c r="Y177" s="198">
        <f t="shared" si="29"/>
        <v>1</v>
      </c>
      <c r="Z177" s="199">
        <f t="shared" si="36"/>
        <v>4490</v>
      </c>
      <c r="AA177" s="198">
        <f t="shared" si="30"/>
        <v>0</v>
      </c>
      <c r="AB177" s="199">
        <f t="shared" si="37"/>
        <v>0</v>
      </c>
      <c r="AC177" s="198">
        <f t="shared" si="31"/>
        <v>0</v>
      </c>
      <c r="AD177" s="199">
        <f t="shared" si="38"/>
        <v>0</v>
      </c>
      <c r="AE177" s="198">
        <f t="shared" si="32"/>
        <v>0</v>
      </c>
      <c r="AF177" s="199">
        <f t="shared" si="39"/>
        <v>0</v>
      </c>
      <c r="AG177" s="198">
        <f t="shared" si="33"/>
        <v>0</v>
      </c>
      <c r="AH177" s="199">
        <f t="shared" si="40"/>
        <v>0</v>
      </c>
      <c r="AI177" s="198">
        <f t="shared" si="34"/>
        <v>0</v>
      </c>
      <c r="AJ177" s="199">
        <f t="shared" si="41"/>
        <v>0</v>
      </c>
    </row>
    <row r="178" spans="1:36" ht="21.75" customHeight="1" x14ac:dyDescent="0.25">
      <c r="A178" s="185" t="s">
        <v>912</v>
      </c>
      <c r="B178" s="185" t="s">
        <v>776</v>
      </c>
      <c r="C178" s="185" t="s">
        <v>499</v>
      </c>
      <c r="D178" s="186" t="s">
        <v>500</v>
      </c>
      <c r="E178" s="185" t="s">
        <v>509</v>
      </c>
      <c r="F178" s="187">
        <v>175</v>
      </c>
      <c r="G178" s="188" t="s">
        <v>825</v>
      </c>
      <c r="H178" s="189" t="s">
        <v>846</v>
      </c>
      <c r="I178" s="212" t="s">
        <v>946</v>
      </c>
      <c r="J178" s="183"/>
      <c r="K178" s="183"/>
      <c r="L178" s="189" t="s">
        <v>534</v>
      </c>
      <c r="M178" s="183" t="s">
        <v>827</v>
      </c>
      <c r="N178" s="189" t="s">
        <v>507</v>
      </c>
      <c r="O178" s="202" t="s">
        <v>554</v>
      </c>
      <c r="P178" s="203"/>
      <c r="Q178" s="192">
        <v>100</v>
      </c>
      <c r="R178" s="193">
        <v>4490</v>
      </c>
      <c r="S178" s="195"/>
      <c r="T178" s="194">
        <v>1</v>
      </c>
      <c r="U178" s="193">
        <v>4490</v>
      </c>
      <c r="V178" s="196">
        <f t="shared" si="28"/>
        <v>40575</v>
      </c>
      <c r="W178" s="197">
        <f t="shared" si="35"/>
        <v>155</v>
      </c>
      <c r="X178" s="197"/>
      <c r="Y178" s="198">
        <f t="shared" si="29"/>
        <v>1</v>
      </c>
      <c r="Z178" s="199">
        <f t="shared" si="36"/>
        <v>4490</v>
      </c>
      <c r="AA178" s="198">
        <f t="shared" si="30"/>
        <v>0</v>
      </c>
      <c r="AB178" s="199">
        <f t="shared" si="37"/>
        <v>0</v>
      </c>
      <c r="AC178" s="198">
        <f t="shared" si="31"/>
        <v>0</v>
      </c>
      <c r="AD178" s="199">
        <f t="shared" si="38"/>
        <v>0</v>
      </c>
      <c r="AE178" s="198">
        <f t="shared" si="32"/>
        <v>0</v>
      </c>
      <c r="AF178" s="199">
        <f t="shared" si="39"/>
        <v>0</v>
      </c>
      <c r="AG178" s="198">
        <f t="shared" si="33"/>
        <v>0</v>
      </c>
      <c r="AH178" s="199">
        <f t="shared" si="40"/>
        <v>0</v>
      </c>
      <c r="AI178" s="198">
        <f t="shared" si="34"/>
        <v>0</v>
      </c>
      <c r="AJ178" s="199">
        <f t="shared" si="41"/>
        <v>0</v>
      </c>
    </row>
    <row r="179" spans="1:36" ht="21.75" customHeight="1" x14ac:dyDescent="0.25">
      <c r="A179" s="185" t="s">
        <v>912</v>
      </c>
      <c r="B179" s="185" t="s">
        <v>776</v>
      </c>
      <c r="C179" s="185" t="s">
        <v>499</v>
      </c>
      <c r="D179" s="186" t="s">
        <v>500</v>
      </c>
      <c r="E179" s="185" t="s">
        <v>509</v>
      </c>
      <c r="F179" s="187">
        <v>176</v>
      </c>
      <c r="G179" s="188" t="s">
        <v>825</v>
      </c>
      <c r="H179" s="189" t="s">
        <v>832</v>
      </c>
      <c r="I179" s="212" t="s">
        <v>946</v>
      </c>
      <c r="J179" s="183"/>
      <c r="K179" s="183"/>
      <c r="L179" s="189" t="s">
        <v>534</v>
      </c>
      <c r="M179" s="183" t="s">
        <v>827</v>
      </c>
      <c r="N179" s="189" t="s">
        <v>507</v>
      </c>
      <c r="O179" s="202" t="s">
        <v>554</v>
      </c>
      <c r="P179" s="203"/>
      <c r="Q179" s="192">
        <v>100</v>
      </c>
      <c r="R179" s="193">
        <v>4490</v>
      </c>
      <c r="S179" s="195"/>
      <c r="T179" s="194">
        <v>1</v>
      </c>
      <c r="U179" s="193">
        <v>4490</v>
      </c>
      <c r="V179" s="196">
        <f t="shared" si="28"/>
        <v>40575</v>
      </c>
      <c r="W179" s="197">
        <f t="shared" si="35"/>
        <v>155</v>
      </c>
      <c r="X179" s="197"/>
      <c r="Y179" s="198">
        <f t="shared" si="29"/>
        <v>1</v>
      </c>
      <c r="Z179" s="199">
        <f t="shared" si="36"/>
        <v>4490</v>
      </c>
      <c r="AA179" s="198">
        <f t="shared" si="30"/>
        <v>0</v>
      </c>
      <c r="AB179" s="199">
        <f t="shared" si="37"/>
        <v>0</v>
      </c>
      <c r="AC179" s="198">
        <f t="shared" si="31"/>
        <v>0</v>
      </c>
      <c r="AD179" s="199">
        <f t="shared" si="38"/>
        <v>0</v>
      </c>
      <c r="AE179" s="198">
        <f t="shared" si="32"/>
        <v>0</v>
      </c>
      <c r="AF179" s="199">
        <f t="shared" si="39"/>
        <v>0</v>
      </c>
      <c r="AG179" s="198">
        <f t="shared" si="33"/>
        <v>0</v>
      </c>
      <c r="AH179" s="199">
        <f t="shared" si="40"/>
        <v>0</v>
      </c>
      <c r="AI179" s="198">
        <f t="shared" si="34"/>
        <v>0</v>
      </c>
      <c r="AJ179" s="199">
        <f t="shared" si="41"/>
        <v>0</v>
      </c>
    </row>
    <row r="180" spans="1:36" ht="21.75" customHeight="1" x14ac:dyDescent="0.25">
      <c r="A180" s="185" t="s">
        <v>912</v>
      </c>
      <c r="B180" s="185" t="s">
        <v>776</v>
      </c>
      <c r="C180" s="185" t="s">
        <v>499</v>
      </c>
      <c r="D180" s="186" t="s">
        <v>500</v>
      </c>
      <c r="E180" s="185" t="s">
        <v>509</v>
      </c>
      <c r="F180" s="187">
        <v>177</v>
      </c>
      <c r="G180" s="188" t="s">
        <v>825</v>
      </c>
      <c r="H180" s="189" t="s">
        <v>830</v>
      </c>
      <c r="I180" s="212" t="s">
        <v>946</v>
      </c>
      <c r="J180" s="183"/>
      <c r="K180" s="183"/>
      <c r="L180" s="189" t="s">
        <v>534</v>
      </c>
      <c r="M180" s="183" t="s">
        <v>827</v>
      </c>
      <c r="N180" s="189" t="s">
        <v>507</v>
      </c>
      <c r="O180" s="202" t="s">
        <v>554</v>
      </c>
      <c r="P180" s="203"/>
      <c r="Q180" s="192">
        <v>100</v>
      </c>
      <c r="R180" s="193">
        <v>4490</v>
      </c>
      <c r="S180" s="195"/>
      <c r="T180" s="194">
        <v>1</v>
      </c>
      <c r="U180" s="193">
        <v>4490</v>
      </c>
      <c r="V180" s="196">
        <f t="shared" si="28"/>
        <v>40575</v>
      </c>
      <c r="W180" s="197">
        <f t="shared" si="35"/>
        <v>155</v>
      </c>
      <c r="X180" s="197"/>
      <c r="Y180" s="198">
        <f t="shared" si="29"/>
        <v>1</v>
      </c>
      <c r="Z180" s="199">
        <f t="shared" si="36"/>
        <v>4490</v>
      </c>
      <c r="AA180" s="198">
        <f t="shared" si="30"/>
        <v>0</v>
      </c>
      <c r="AB180" s="199">
        <f t="shared" si="37"/>
        <v>0</v>
      </c>
      <c r="AC180" s="198">
        <f t="shared" si="31"/>
        <v>0</v>
      </c>
      <c r="AD180" s="199">
        <f t="shared" si="38"/>
        <v>0</v>
      </c>
      <c r="AE180" s="198">
        <f t="shared" si="32"/>
        <v>0</v>
      </c>
      <c r="AF180" s="199">
        <f t="shared" si="39"/>
        <v>0</v>
      </c>
      <c r="AG180" s="198">
        <f t="shared" si="33"/>
        <v>0</v>
      </c>
      <c r="AH180" s="199">
        <f t="shared" si="40"/>
        <v>0</v>
      </c>
      <c r="AI180" s="198">
        <f t="shared" si="34"/>
        <v>0</v>
      </c>
      <c r="AJ180" s="199">
        <f t="shared" si="41"/>
        <v>0</v>
      </c>
    </row>
    <row r="181" spans="1:36" ht="21.75" customHeight="1" x14ac:dyDescent="0.25">
      <c r="A181" s="185" t="s">
        <v>912</v>
      </c>
      <c r="B181" s="185" t="s">
        <v>776</v>
      </c>
      <c r="C181" s="185" t="s">
        <v>499</v>
      </c>
      <c r="D181" s="186" t="s">
        <v>500</v>
      </c>
      <c r="E181" s="185" t="s">
        <v>509</v>
      </c>
      <c r="F181" s="187">
        <v>178</v>
      </c>
      <c r="G181" s="188" t="s">
        <v>825</v>
      </c>
      <c r="H181" s="189" t="s">
        <v>845</v>
      </c>
      <c r="I181" s="212" t="s">
        <v>946</v>
      </c>
      <c r="J181" s="183"/>
      <c r="K181" s="183"/>
      <c r="L181" s="189" t="s">
        <v>534</v>
      </c>
      <c r="M181" s="183" t="s">
        <v>827</v>
      </c>
      <c r="N181" s="189" t="s">
        <v>507</v>
      </c>
      <c r="O181" s="202" t="s">
        <v>554</v>
      </c>
      <c r="P181" s="203"/>
      <c r="Q181" s="192">
        <v>100</v>
      </c>
      <c r="R181" s="193">
        <v>4490</v>
      </c>
      <c r="S181" s="195"/>
      <c r="T181" s="194">
        <v>1</v>
      </c>
      <c r="U181" s="193">
        <v>4490</v>
      </c>
      <c r="V181" s="196">
        <f t="shared" si="28"/>
        <v>40575</v>
      </c>
      <c r="W181" s="197">
        <f t="shared" si="35"/>
        <v>155</v>
      </c>
      <c r="X181" s="197"/>
      <c r="Y181" s="198">
        <f t="shared" si="29"/>
        <v>1</v>
      </c>
      <c r="Z181" s="199">
        <f t="shared" si="36"/>
        <v>4490</v>
      </c>
      <c r="AA181" s="198">
        <f t="shared" si="30"/>
        <v>0</v>
      </c>
      <c r="AB181" s="199">
        <f t="shared" si="37"/>
        <v>0</v>
      </c>
      <c r="AC181" s="198">
        <f t="shared" si="31"/>
        <v>0</v>
      </c>
      <c r="AD181" s="199">
        <f t="shared" si="38"/>
        <v>0</v>
      </c>
      <c r="AE181" s="198">
        <f t="shared" si="32"/>
        <v>0</v>
      </c>
      <c r="AF181" s="199">
        <f t="shared" si="39"/>
        <v>0</v>
      </c>
      <c r="AG181" s="198">
        <f t="shared" si="33"/>
        <v>0</v>
      </c>
      <c r="AH181" s="199">
        <f t="shared" si="40"/>
        <v>0</v>
      </c>
      <c r="AI181" s="198">
        <f t="shared" si="34"/>
        <v>0</v>
      </c>
      <c r="AJ181" s="199">
        <f t="shared" si="41"/>
        <v>0</v>
      </c>
    </row>
    <row r="182" spans="1:36" ht="21.75" customHeight="1" x14ac:dyDescent="0.25">
      <c r="A182" s="185" t="s">
        <v>912</v>
      </c>
      <c r="B182" s="185" t="s">
        <v>776</v>
      </c>
      <c r="C182" s="185" t="s">
        <v>499</v>
      </c>
      <c r="D182" s="186" t="s">
        <v>500</v>
      </c>
      <c r="E182" s="185" t="s">
        <v>509</v>
      </c>
      <c r="F182" s="187">
        <v>179</v>
      </c>
      <c r="G182" s="188" t="s">
        <v>847</v>
      </c>
      <c r="H182" s="189" t="s">
        <v>848</v>
      </c>
      <c r="I182" s="212" t="s">
        <v>946</v>
      </c>
      <c r="J182" s="183"/>
      <c r="K182" s="183"/>
      <c r="L182" s="189" t="s">
        <v>534</v>
      </c>
      <c r="M182" s="183" t="s">
        <v>827</v>
      </c>
      <c r="N182" s="189" t="s">
        <v>507</v>
      </c>
      <c r="O182" s="202" t="s">
        <v>554</v>
      </c>
      <c r="P182" s="203"/>
      <c r="Q182" s="192">
        <v>100</v>
      </c>
      <c r="R182" s="193">
        <v>3363</v>
      </c>
      <c r="S182" s="195"/>
      <c r="T182" s="194">
        <v>1</v>
      </c>
      <c r="U182" s="193">
        <v>3363</v>
      </c>
      <c r="V182" s="196">
        <f t="shared" si="28"/>
        <v>40575</v>
      </c>
      <c r="W182" s="197">
        <f t="shared" si="35"/>
        <v>155</v>
      </c>
      <c r="X182" s="197"/>
      <c r="Y182" s="198">
        <f t="shared" si="29"/>
        <v>1</v>
      </c>
      <c r="Z182" s="199">
        <f t="shared" si="36"/>
        <v>3363</v>
      </c>
      <c r="AA182" s="198">
        <f t="shared" si="30"/>
        <v>0</v>
      </c>
      <c r="AB182" s="199">
        <f t="shared" si="37"/>
        <v>0</v>
      </c>
      <c r="AC182" s="198">
        <f t="shared" si="31"/>
        <v>0</v>
      </c>
      <c r="AD182" s="199">
        <f t="shared" si="38"/>
        <v>0</v>
      </c>
      <c r="AE182" s="198">
        <f t="shared" si="32"/>
        <v>0</v>
      </c>
      <c r="AF182" s="199">
        <f t="shared" si="39"/>
        <v>0</v>
      </c>
      <c r="AG182" s="198">
        <f t="shared" si="33"/>
        <v>0</v>
      </c>
      <c r="AH182" s="199">
        <f t="shared" si="40"/>
        <v>0</v>
      </c>
      <c r="AI182" s="198">
        <f t="shared" si="34"/>
        <v>0</v>
      </c>
      <c r="AJ182" s="199">
        <f t="shared" si="41"/>
        <v>0</v>
      </c>
    </row>
    <row r="183" spans="1:36" ht="21.75" customHeight="1" x14ac:dyDescent="0.25">
      <c r="A183" s="185" t="s">
        <v>912</v>
      </c>
      <c r="B183" s="185" t="s">
        <v>776</v>
      </c>
      <c r="C183" s="185" t="s">
        <v>499</v>
      </c>
      <c r="D183" s="186" t="s">
        <v>500</v>
      </c>
      <c r="E183" s="185" t="s">
        <v>509</v>
      </c>
      <c r="F183" s="187">
        <v>180</v>
      </c>
      <c r="G183" s="188" t="s">
        <v>847</v>
      </c>
      <c r="H183" s="189" t="s">
        <v>849</v>
      </c>
      <c r="I183" s="212" t="s">
        <v>946</v>
      </c>
      <c r="J183" s="183"/>
      <c r="K183" s="183"/>
      <c r="L183" s="189" t="s">
        <v>534</v>
      </c>
      <c r="M183" s="183" t="s">
        <v>827</v>
      </c>
      <c r="N183" s="189" t="s">
        <v>507</v>
      </c>
      <c r="O183" s="202" t="s">
        <v>554</v>
      </c>
      <c r="P183" s="203"/>
      <c r="Q183" s="192">
        <v>100</v>
      </c>
      <c r="R183" s="193">
        <v>3363</v>
      </c>
      <c r="S183" s="195"/>
      <c r="T183" s="194">
        <v>1</v>
      </c>
      <c r="U183" s="193">
        <v>3363</v>
      </c>
      <c r="V183" s="196">
        <f t="shared" si="28"/>
        <v>40575</v>
      </c>
      <c r="W183" s="197">
        <f t="shared" si="35"/>
        <v>155</v>
      </c>
      <c r="X183" s="197"/>
      <c r="Y183" s="198">
        <f t="shared" si="29"/>
        <v>1</v>
      </c>
      <c r="Z183" s="199">
        <f t="shared" si="36"/>
        <v>3363</v>
      </c>
      <c r="AA183" s="198">
        <f t="shared" si="30"/>
        <v>0</v>
      </c>
      <c r="AB183" s="199">
        <f t="shared" si="37"/>
        <v>0</v>
      </c>
      <c r="AC183" s="198">
        <f t="shared" si="31"/>
        <v>0</v>
      </c>
      <c r="AD183" s="199">
        <f t="shared" si="38"/>
        <v>0</v>
      </c>
      <c r="AE183" s="198">
        <f t="shared" si="32"/>
        <v>0</v>
      </c>
      <c r="AF183" s="199">
        <f t="shared" si="39"/>
        <v>0</v>
      </c>
      <c r="AG183" s="198">
        <f t="shared" si="33"/>
        <v>0</v>
      </c>
      <c r="AH183" s="199">
        <f t="shared" si="40"/>
        <v>0</v>
      </c>
      <c r="AI183" s="198">
        <f t="shared" si="34"/>
        <v>0</v>
      </c>
      <c r="AJ183" s="199">
        <f t="shared" si="41"/>
        <v>0</v>
      </c>
    </row>
    <row r="184" spans="1:36" ht="21.75" customHeight="1" x14ac:dyDescent="0.25">
      <c r="A184" s="185" t="s">
        <v>912</v>
      </c>
      <c r="B184" s="185" t="s">
        <v>776</v>
      </c>
      <c r="C184" s="185" t="s">
        <v>499</v>
      </c>
      <c r="D184" s="186" t="s">
        <v>500</v>
      </c>
      <c r="E184" s="185" t="s">
        <v>509</v>
      </c>
      <c r="F184" s="187">
        <v>181</v>
      </c>
      <c r="G184" s="188" t="s">
        <v>850</v>
      </c>
      <c r="H184" s="189" t="s">
        <v>853</v>
      </c>
      <c r="I184" s="212" t="s">
        <v>946</v>
      </c>
      <c r="J184" s="183"/>
      <c r="K184" s="183"/>
      <c r="L184" s="189" t="s">
        <v>534</v>
      </c>
      <c r="M184" s="183" t="s">
        <v>852</v>
      </c>
      <c r="N184" s="189" t="s">
        <v>507</v>
      </c>
      <c r="O184" s="202" t="s">
        <v>554</v>
      </c>
      <c r="P184" s="203"/>
      <c r="Q184" s="192">
        <v>100</v>
      </c>
      <c r="R184" s="193">
        <v>6695</v>
      </c>
      <c r="S184" s="195"/>
      <c r="T184" s="194">
        <v>1</v>
      </c>
      <c r="U184" s="193">
        <v>6695</v>
      </c>
      <c r="V184" s="196">
        <f t="shared" si="28"/>
        <v>40878</v>
      </c>
      <c r="W184" s="197">
        <f t="shared" si="35"/>
        <v>145</v>
      </c>
      <c r="X184" s="197"/>
      <c r="Y184" s="198">
        <f t="shared" si="29"/>
        <v>1</v>
      </c>
      <c r="Z184" s="199">
        <f t="shared" si="36"/>
        <v>6695</v>
      </c>
      <c r="AA184" s="198">
        <f t="shared" si="30"/>
        <v>0</v>
      </c>
      <c r="AB184" s="199">
        <f t="shared" si="37"/>
        <v>0</v>
      </c>
      <c r="AC184" s="198">
        <f t="shared" si="31"/>
        <v>0</v>
      </c>
      <c r="AD184" s="199">
        <f t="shared" si="38"/>
        <v>0</v>
      </c>
      <c r="AE184" s="198">
        <f t="shared" si="32"/>
        <v>0</v>
      </c>
      <c r="AF184" s="199">
        <f t="shared" si="39"/>
        <v>0</v>
      </c>
      <c r="AG184" s="198">
        <f t="shared" si="33"/>
        <v>0</v>
      </c>
      <c r="AH184" s="199">
        <f t="shared" si="40"/>
        <v>0</v>
      </c>
      <c r="AI184" s="198">
        <f t="shared" si="34"/>
        <v>0</v>
      </c>
      <c r="AJ184" s="199">
        <f t="shared" si="41"/>
        <v>0</v>
      </c>
    </row>
    <row r="185" spans="1:36" ht="21.75" customHeight="1" x14ac:dyDescent="0.25">
      <c r="A185" s="185" t="s">
        <v>912</v>
      </c>
      <c r="B185" s="185" t="s">
        <v>776</v>
      </c>
      <c r="C185" s="185" t="s">
        <v>499</v>
      </c>
      <c r="D185" s="186" t="s">
        <v>500</v>
      </c>
      <c r="E185" s="185" t="s">
        <v>509</v>
      </c>
      <c r="F185" s="187">
        <v>182</v>
      </c>
      <c r="G185" s="188" t="s">
        <v>850</v>
      </c>
      <c r="H185" s="189" t="s">
        <v>851</v>
      </c>
      <c r="I185" s="212" t="s">
        <v>946</v>
      </c>
      <c r="J185" s="183"/>
      <c r="K185" s="183"/>
      <c r="L185" s="189" t="s">
        <v>534</v>
      </c>
      <c r="M185" s="183" t="s">
        <v>852</v>
      </c>
      <c r="N185" s="189" t="s">
        <v>507</v>
      </c>
      <c r="O185" s="202" t="s">
        <v>554</v>
      </c>
      <c r="P185" s="203"/>
      <c r="Q185" s="192">
        <v>100</v>
      </c>
      <c r="R185" s="193">
        <v>6695</v>
      </c>
      <c r="S185" s="195"/>
      <c r="T185" s="194">
        <v>1</v>
      </c>
      <c r="U185" s="193">
        <v>6695</v>
      </c>
      <c r="V185" s="196">
        <f t="shared" si="28"/>
        <v>40878</v>
      </c>
      <c r="W185" s="197">
        <f t="shared" si="35"/>
        <v>145</v>
      </c>
      <c r="X185" s="197"/>
      <c r="Y185" s="198">
        <f t="shared" si="29"/>
        <v>1</v>
      </c>
      <c r="Z185" s="199">
        <f t="shared" si="36"/>
        <v>6695</v>
      </c>
      <c r="AA185" s="198">
        <f t="shared" si="30"/>
        <v>0</v>
      </c>
      <c r="AB185" s="199">
        <f t="shared" si="37"/>
        <v>0</v>
      </c>
      <c r="AC185" s="198">
        <f t="shared" si="31"/>
        <v>0</v>
      </c>
      <c r="AD185" s="199">
        <f t="shared" si="38"/>
        <v>0</v>
      </c>
      <c r="AE185" s="198">
        <f t="shared" si="32"/>
        <v>0</v>
      </c>
      <c r="AF185" s="199">
        <f t="shared" si="39"/>
        <v>0</v>
      </c>
      <c r="AG185" s="198">
        <f t="shared" si="33"/>
        <v>0</v>
      </c>
      <c r="AH185" s="199">
        <f t="shared" si="40"/>
        <v>0</v>
      </c>
      <c r="AI185" s="198">
        <f t="shared" si="34"/>
        <v>0</v>
      </c>
      <c r="AJ185" s="199">
        <f t="shared" si="41"/>
        <v>0</v>
      </c>
    </row>
    <row r="186" spans="1:36" ht="21.75" customHeight="1" x14ac:dyDescent="0.25">
      <c r="A186" s="185" t="s">
        <v>912</v>
      </c>
      <c r="B186" s="185" t="s">
        <v>776</v>
      </c>
      <c r="C186" s="185" t="s">
        <v>499</v>
      </c>
      <c r="D186" s="186" t="s">
        <v>500</v>
      </c>
      <c r="E186" s="185" t="s">
        <v>509</v>
      </c>
      <c r="F186" s="187">
        <v>183</v>
      </c>
      <c r="G186" s="188" t="s">
        <v>854</v>
      </c>
      <c r="H186" s="189" t="s">
        <v>855</v>
      </c>
      <c r="I186" s="212" t="s">
        <v>946</v>
      </c>
      <c r="J186" s="183"/>
      <c r="K186" s="183"/>
      <c r="L186" s="189" t="s">
        <v>534</v>
      </c>
      <c r="M186" s="183" t="s">
        <v>856</v>
      </c>
      <c r="N186" s="189" t="s">
        <v>507</v>
      </c>
      <c r="O186" s="202" t="s">
        <v>554</v>
      </c>
      <c r="P186" s="203"/>
      <c r="Q186" s="192">
        <v>100</v>
      </c>
      <c r="R186" s="193">
        <v>3076</v>
      </c>
      <c r="S186" s="195"/>
      <c r="T186" s="194">
        <v>1</v>
      </c>
      <c r="U186" s="193">
        <v>3076</v>
      </c>
      <c r="V186" s="196">
        <f t="shared" si="28"/>
        <v>40909</v>
      </c>
      <c r="W186" s="197">
        <f t="shared" si="35"/>
        <v>144</v>
      </c>
      <c r="X186" s="197"/>
      <c r="Y186" s="198">
        <f t="shared" si="29"/>
        <v>1</v>
      </c>
      <c r="Z186" s="199">
        <f t="shared" si="36"/>
        <v>3076</v>
      </c>
      <c r="AA186" s="198">
        <f t="shared" si="30"/>
        <v>0</v>
      </c>
      <c r="AB186" s="199">
        <f t="shared" si="37"/>
        <v>0</v>
      </c>
      <c r="AC186" s="198">
        <f t="shared" si="31"/>
        <v>0</v>
      </c>
      <c r="AD186" s="199">
        <f t="shared" si="38"/>
        <v>0</v>
      </c>
      <c r="AE186" s="198">
        <f t="shared" si="32"/>
        <v>0</v>
      </c>
      <c r="AF186" s="199">
        <f t="shared" si="39"/>
        <v>0</v>
      </c>
      <c r="AG186" s="198">
        <f t="shared" si="33"/>
        <v>0</v>
      </c>
      <c r="AH186" s="199">
        <f t="shared" si="40"/>
        <v>0</v>
      </c>
      <c r="AI186" s="198">
        <f t="shared" si="34"/>
        <v>0</v>
      </c>
      <c r="AJ186" s="199">
        <f t="shared" si="41"/>
        <v>0</v>
      </c>
    </row>
    <row r="187" spans="1:36" ht="21.75" customHeight="1" x14ac:dyDescent="0.25">
      <c r="A187" s="185" t="s">
        <v>912</v>
      </c>
      <c r="B187" s="185" t="s">
        <v>776</v>
      </c>
      <c r="C187" s="185" t="s">
        <v>499</v>
      </c>
      <c r="D187" s="186" t="s">
        <v>500</v>
      </c>
      <c r="E187" s="185" t="s">
        <v>509</v>
      </c>
      <c r="F187" s="187">
        <v>184</v>
      </c>
      <c r="G187" s="188" t="s">
        <v>854</v>
      </c>
      <c r="H187" s="189" t="s">
        <v>857</v>
      </c>
      <c r="I187" s="212" t="s">
        <v>946</v>
      </c>
      <c r="J187" s="183"/>
      <c r="K187" s="183"/>
      <c r="L187" s="189" t="s">
        <v>534</v>
      </c>
      <c r="M187" s="183" t="s">
        <v>856</v>
      </c>
      <c r="N187" s="189" t="s">
        <v>507</v>
      </c>
      <c r="O187" s="202" t="s">
        <v>554</v>
      </c>
      <c r="P187" s="203"/>
      <c r="Q187" s="192">
        <v>100</v>
      </c>
      <c r="R187" s="193">
        <v>3076</v>
      </c>
      <c r="S187" s="195"/>
      <c r="T187" s="194">
        <v>1</v>
      </c>
      <c r="U187" s="193">
        <v>3076</v>
      </c>
      <c r="V187" s="196">
        <f t="shared" si="28"/>
        <v>40909</v>
      </c>
      <c r="W187" s="197">
        <f t="shared" si="35"/>
        <v>144</v>
      </c>
      <c r="X187" s="197"/>
      <c r="Y187" s="198">
        <f t="shared" si="29"/>
        <v>1</v>
      </c>
      <c r="Z187" s="199">
        <f t="shared" si="36"/>
        <v>3076</v>
      </c>
      <c r="AA187" s="198">
        <f t="shared" si="30"/>
        <v>0</v>
      </c>
      <c r="AB187" s="199">
        <f t="shared" si="37"/>
        <v>0</v>
      </c>
      <c r="AC187" s="198">
        <f t="shared" si="31"/>
        <v>0</v>
      </c>
      <c r="AD187" s="199">
        <f t="shared" si="38"/>
        <v>0</v>
      </c>
      <c r="AE187" s="198">
        <f t="shared" si="32"/>
        <v>0</v>
      </c>
      <c r="AF187" s="199">
        <f t="shared" si="39"/>
        <v>0</v>
      </c>
      <c r="AG187" s="198">
        <f t="shared" si="33"/>
        <v>0</v>
      </c>
      <c r="AH187" s="199">
        <f t="shared" si="40"/>
        <v>0</v>
      </c>
      <c r="AI187" s="198">
        <f t="shared" si="34"/>
        <v>0</v>
      </c>
      <c r="AJ187" s="199">
        <f t="shared" si="41"/>
        <v>0</v>
      </c>
    </row>
    <row r="188" spans="1:36" ht="21.75" customHeight="1" x14ac:dyDescent="0.25">
      <c r="A188" s="185" t="s">
        <v>912</v>
      </c>
      <c r="B188" s="185" t="s">
        <v>776</v>
      </c>
      <c r="C188" s="185" t="s">
        <v>499</v>
      </c>
      <c r="D188" s="186" t="s">
        <v>500</v>
      </c>
      <c r="E188" s="185" t="s">
        <v>509</v>
      </c>
      <c r="F188" s="187">
        <v>185</v>
      </c>
      <c r="G188" s="188" t="s">
        <v>858</v>
      </c>
      <c r="H188" s="189" t="s">
        <v>859</v>
      </c>
      <c r="I188" s="212" t="s">
        <v>946</v>
      </c>
      <c r="J188" s="183"/>
      <c r="K188" s="183"/>
      <c r="L188" s="189" t="s">
        <v>534</v>
      </c>
      <c r="M188" s="183" t="s">
        <v>860</v>
      </c>
      <c r="N188" s="189" t="s">
        <v>507</v>
      </c>
      <c r="O188" s="202" t="s">
        <v>554</v>
      </c>
      <c r="P188" s="203"/>
      <c r="Q188" s="192">
        <v>100</v>
      </c>
      <c r="R188" s="193">
        <v>14241</v>
      </c>
      <c r="S188" s="195"/>
      <c r="T188" s="194">
        <v>1</v>
      </c>
      <c r="U188" s="193">
        <v>14241</v>
      </c>
      <c r="V188" s="196">
        <f t="shared" si="28"/>
        <v>40940</v>
      </c>
      <c r="W188" s="197">
        <f t="shared" si="35"/>
        <v>143</v>
      </c>
      <c r="X188" s="197"/>
      <c r="Y188" s="198">
        <f t="shared" si="29"/>
        <v>1</v>
      </c>
      <c r="Z188" s="199">
        <f t="shared" si="36"/>
        <v>14241</v>
      </c>
      <c r="AA188" s="198">
        <f t="shared" si="30"/>
        <v>0</v>
      </c>
      <c r="AB188" s="199">
        <f t="shared" si="37"/>
        <v>0</v>
      </c>
      <c r="AC188" s="198">
        <f t="shared" si="31"/>
        <v>0</v>
      </c>
      <c r="AD188" s="199">
        <f t="shared" si="38"/>
        <v>0</v>
      </c>
      <c r="AE188" s="198">
        <f t="shared" si="32"/>
        <v>0</v>
      </c>
      <c r="AF188" s="199">
        <f t="shared" si="39"/>
        <v>0</v>
      </c>
      <c r="AG188" s="198">
        <f t="shared" si="33"/>
        <v>0</v>
      </c>
      <c r="AH188" s="199">
        <f t="shared" si="40"/>
        <v>0</v>
      </c>
      <c r="AI188" s="198">
        <f t="shared" si="34"/>
        <v>0</v>
      </c>
      <c r="AJ188" s="199">
        <f t="shared" si="41"/>
        <v>0</v>
      </c>
    </row>
    <row r="189" spans="1:36" ht="21.75" customHeight="1" x14ac:dyDescent="0.25">
      <c r="A189" s="185" t="s">
        <v>912</v>
      </c>
      <c r="B189" s="185" t="s">
        <v>776</v>
      </c>
      <c r="C189" s="185" t="s">
        <v>499</v>
      </c>
      <c r="D189" s="186" t="s">
        <v>500</v>
      </c>
      <c r="E189" s="185" t="s">
        <v>509</v>
      </c>
      <c r="F189" s="187">
        <v>186</v>
      </c>
      <c r="G189" s="188" t="s">
        <v>861</v>
      </c>
      <c r="H189" s="189" t="s">
        <v>862</v>
      </c>
      <c r="I189" s="212" t="s">
        <v>946</v>
      </c>
      <c r="J189" s="201">
        <v>1</v>
      </c>
      <c r="K189" s="183"/>
      <c r="L189" s="189" t="s">
        <v>534</v>
      </c>
      <c r="M189" s="183" t="s">
        <v>863</v>
      </c>
      <c r="N189" s="189" t="s">
        <v>507</v>
      </c>
      <c r="O189" s="202" t="s">
        <v>554</v>
      </c>
      <c r="P189" s="203"/>
      <c r="Q189" s="192">
        <v>100</v>
      </c>
      <c r="R189" s="193">
        <v>3650</v>
      </c>
      <c r="S189" s="195"/>
      <c r="T189" s="194">
        <v>1</v>
      </c>
      <c r="U189" s="193">
        <v>3650</v>
      </c>
      <c r="V189" s="196">
        <f t="shared" si="28"/>
        <v>40422</v>
      </c>
      <c r="W189" s="197">
        <f t="shared" si="35"/>
        <v>160</v>
      </c>
      <c r="X189" s="197"/>
      <c r="Y189" s="198">
        <f t="shared" si="29"/>
        <v>1</v>
      </c>
      <c r="Z189" s="199">
        <f t="shared" si="36"/>
        <v>3650</v>
      </c>
      <c r="AA189" s="198">
        <f t="shared" si="30"/>
        <v>0</v>
      </c>
      <c r="AB189" s="199">
        <f t="shared" si="37"/>
        <v>0</v>
      </c>
      <c r="AC189" s="198">
        <f t="shared" si="31"/>
        <v>0</v>
      </c>
      <c r="AD189" s="199">
        <f t="shared" si="38"/>
        <v>0</v>
      </c>
      <c r="AE189" s="198">
        <f t="shared" si="32"/>
        <v>0</v>
      </c>
      <c r="AF189" s="199">
        <f t="shared" si="39"/>
        <v>0</v>
      </c>
      <c r="AG189" s="198">
        <f t="shared" si="33"/>
        <v>0</v>
      </c>
      <c r="AH189" s="199">
        <f t="shared" si="40"/>
        <v>0</v>
      </c>
      <c r="AI189" s="198">
        <f t="shared" si="34"/>
        <v>0</v>
      </c>
      <c r="AJ189" s="199">
        <f t="shared" si="41"/>
        <v>0</v>
      </c>
    </row>
    <row r="190" spans="1:36" ht="21.75" customHeight="1" x14ac:dyDescent="0.25">
      <c r="A190" s="185" t="s">
        <v>912</v>
      </c>
      <c r="B190" s="185" t="s">
        <v>776</v>
      </c>
      <c r="C190" s="185" t="s">
        <v>499</v>
      </c>
      <c r="D190" s="186" t="s">
        <v>500</v>
      </c>
      <c r="E190" s="185" t="s">
        <v>509</v>
      </c>
      <c r="F190" s="187">
        <v>187</v>
      </c>
      <c r="G190" s="188" t="s">
        <v>864</v>
      </c>
      <c r="H190" s="189" t="s">
        <v>865</v>
      </c>
      <c r="I190" s="212" t="s">
        <v>946</v>
      </c>
      <c r="J190" s="201">
        <v>1</v>
      </c>
      <c r="K190" s="183"/>
      <c r="L190" s="189" t="s">
        <v>505</v>
      </c>
      <c r="M190" s="183" t="s">
        <v>866</v>
      </c>
      <c r="N190" s="189" t="s">
        <v>507</v>
      </c>
      <c r="O190" s="190">
        <v>1.19</v>
      </c>
      <c r="P190" s="191">
        <v>84</v>
      </c>
      <c r="Q190" s="192">
        <v>100</v>
      </c>
      <c r="R190" s="193">
        <v>24150</v>
      </c>
      <c r="S190" s="195"/>
      <c r="T190" s="194">
        <v>1</v>
      </c>
      <c r="U190" s="193">
        <v>24150</v>
      </c>
      <c r="V190" s="196">
        <f t="shared" si="28"/>
        <v>40544</v>
      </c>
      <c r="W190" s="197">
        <f t="shared" si="35"/>
        <v>156</v>
      </c>
      <c r="X190" s="197"/>
      <c r="Y190" s="198">
        <f t="shared" si="29"/>
        <v>1</v>
      </c>
      <c r="Z190" s="199">
        <f t="shared" si="36"/>
        <v>24150</v>
      </c>
      <c r="AA190" s="198">
        <f t="shared" si="30"/>
        <v>0</v>
      </c>
      <c r="AB190" s="199">
        <f t="shared" si="37"/>
        <v>0</v>
      </c>
      <c r="AC190" s="198">
        <f t="shared" si="31"/>
        <v>0</v>
      </c>
      <c r="AD190" s="199">
        <f t="shared" si="38"/>
        <v>0</v>
      </c>
      <c r="AE190" s="198">
        <f t="shared" si="32"/>
        <v>0</v>
      </c>
      <c r="AF190" s="199">
        <f t="shared" si="39"/>
        <v>0</v>
      </c>
      <c r="AG190" s="198">
        <f t="shared" si="33"/>
        <v>0</v>
      </c>
      <c r="AH190" s="199">
        <f t="shared" si="40"/>
        <v>0</v>
      </c>
      <c r="AI190" s="198">
        <f t="shared" si="34"/>
        <v>0</v>
      </c>
      <c r="AJ190" s="199">
        <f t="shared" si="41"/>
        <v>0</v>
      </c>
    </row>
    <row r="191" spans="1:36" ht="21.75" customHeight="1" x14ac:dyDescent="0.25">
      <c r="A191" s="185" t="s">
        <v>912</v>
      </c>
      <c r="B191" s="185" t="s">
        <v>776</v>
      </c>
      <c r="C191" s="185" t="s">
        <v>499</v>
      </c>
      <c r="D191" s="186" t="s">
        <v>508</v>
      </c>
      <c r="E191" s="185" t="s">
        <v>1101</v>
      </c>
      <c r="F191" s="187">
        <v>188</v>
      </c>
      <c r="G191" s="188" t="s">
        <v>867</v>
      </c>
      <c r="H191" s="189" t="s">
        <v>868</v>
      </c>
      <c r="I191" s="212" t="s">
        <v>1293</v>
      </c>
      <c r="J191" s="183" t="s">
        <v>869</v>
      </c>
      <c r="K191" s="201">
        <v>2</v>
      </c>
      <c r="L191" s="189" t="s">
        <v>534</v>
      </c>
      <c r="M191" s="183" t="s">
        <v>870</v>
      </c>
      <c r="N191" s="189" t="s">
        <v>507</v>
      </c>
      <c r="O191" s="190">
        <v>2.778</v>
      </c>
      <c r="P191" s="191">
        <v>36</v>
      </c>
      <c r="Q191" s="192">
        <v>100</v>
      </c>
      <c r="R191" s="193">
        <v>23199</v>
      </c>
      <c r="S191" s="195"/>
      <c r="T191" s="194">
        <v>1</v>
      </c>
      <c r="U191" s="193">
        <v>23199</v>
      </c>
      <c r="V191" s="196">
        <f t="shared" si="28"/>
        <v>44682</v>
      </c>
      <c r="W191" s="197">
        <f t="shared" si="35"/>
        <v>20</v>
      </c>
      <c r="X191" s="197"/>
      <c r="Y191" s="198">
        <f t="shared" si="29"/>
        <v>0</v>
      </c>
      <c r="Z191" s="199">
        <f t="shared" si="36"/>
        <v>0</v>
      </c>
      <c r="AA191" s="198">
        <f t="shared" si="30"/>
        <v>0</v>
      </c>
      <c r="AB191" s="199">
        <f t="shared" si="37"/>
        <v>0</v>
      </c>
      <c r="AC191" s="198">
        <f t="shared" si="31"/>
        <v>0</v>
      </c>
      <c r="AD191" s="199">
        <f t="shared" si="38"/>
        <v>0</v>
      </c>
      <c r="AE191" s="198">
        <f t="shared" si="32"/>
        <v>0</v>
      </c>
      <c r="AF191" s="199">
        <f t="shared" si="39"/>
        <v>0</v>
      </c>
      <c r="AG191" s="198">
        <f t="shared" si="33"/>
        <v>1</v>
      </c>
      <c r="AH191" s="199">
        <f t="shared" si="40"/>
        <v>23199</v>
      </c>
      <c r="AI191" s="198">
        <f t="shared" si="34"/>
        <v>0</v>
      </c>
      <c r="AJ191" s="199">
        <f t="shared" si="41"/>
        <v>0</v>
      </c>
    </row>
    <row r="192" spans="1:36" ht="21.75" customHeight="1" x14ac:dyDescent="0.25">
      <c r="A192" s="185" t="s">
        <v>912</v>
      </c>
      <c r="B192" s="185" t="s">
        <v>776</v>
      </c>
      <c r="C192" s="185" t="s">
        <v>499</v>
      </c>
      <c r="D192" s="186" t="s">
        <v>508</v>
      </c>
      <c r="E192" s="185" t="s">
        <v>1101</v>
      </c>
      <c r="F192" s="187">
        <v>189</v>
      </c>
      <c r="G192" s="188" t="s">
        <v>871</v>
      </c>
      <c r="H192" s="189" t="s">
        <v>872</v>
      </c>
      <c r="I192" s="212" t="s">
        <v>1293</v>
      </c>
      <c r="J192" s="183" t="s">
        <v>873</v>
      </c>
      <c r="K192" s="201">
        <v>5</v>
      </c>
      <c r="L192" s="189" t="s">
        <v>534</v>
      </c>
      <c r="M192" s="183" t="s">
        <v>874</v>
      </c>
      <c r="N192" s="189" t="s">
        <v>507</v>
      </c>
      <c r="O192" s="190">
        <v>0.83299999999999996</v>
      </c>
      <c r="P192" s="191">
        <v>120</v>
      </c>
      <c r="Q192" s="192">
        <v>100</v>
      </c>
      <c r="R192" s="193">
        <v>12800</v>
      </c>
      <c r="S192" s="195"/>
      <c r="T192" s="194">
        <v>1</v>
      </c>
      <c r="U192" s="193">
        <v>12800</v>
      </c>
      <c r="V192" s="196">
        <f t="shared" si="28"/>
        <v>44682</v>
      </c>
      <c r="W192" s="197">
        <f t="shared" si="35"/>
        <v>20</v>
      </c>
      <c r="X192" s="197"/>
      <c r="Y192" s="198">
        <f t="shared" si="29"/>
        <v>0</v>
      </c>
      <c r="Z192" s="199">
        <f t="shared" si="36"/>
        <v>0</v>
      </c>
      <c r="AA192" s="198">
        <f t="shared" si="30"/>
        <v>0</v>
      </c>
      <c r="AB192" s="199">
        <f t="shared" si="37"/>
        <v>0</v>
      </c>
      <c r="AC192" s="198">
        <f t="shared" si="31"/>
        <v>0</v>
      </c>
      <c r="AD192" s="199">
        <f t="shared" si="38"/>
        <v>0</v>
      </c>
      <c r="AE192" s="198">
        <f t="shared" si="32"/>
        <v>0</v>
      </c>
      <c r="AF192" s="199">
        <f t="shared" si="39"/>
        <v>0</v>
      </c>
      <c r="AG192" s="198">
        <f t="shared" si="33"/>
        <v>1</v>
      </c>
      <c r="AH192" s="199">
        <f t="shared" si="40"/>
        <v>12800</v>
      </c>
      <c r="AI192" s="198">
        <f t="shared" si="34"/>
        <v>0</v>
      </c>
      <c r="AJ192" s="199">
        <f t="shared" si="41"/>
        <v>0</v>
      </c>
    </row>
    <row r="193" spans="1:36" ht="21.75" customHeight="1" x14ac:dyDescent="0.25">
      <c r="A193" s="185" t="s">
        <v>912</v>
      </c>
      <c r="B193" s="185" t="s">
        <v>776</v>
      </c>
      <c r="C193" s="185" t="s">
        <v>499</v>
      </c>
      <c r="D193" s="186" t="s">
        <v>508</v>
      </c>
      <c r="E193" s="185" t="s">
        <v>1101</v>
      </c>
      <c r="F193" s="187">
        <v>190</v>
      </c>
      <c r="G193" s="188" t="s">
        <v>878</v>
      </c>
      <c r="H193" s="189" t="s">
        <v>879</v>
      </c>
      <c r="I193" s="212" t="s">
        <v>1293</v>
      </c>
      <c r="J193" s="183"/>
      <c r="K193" s="183"/>
      <c r="L193" s="189" t="s">
        <v>534</v>
      </c>
      <c r="M193" s="183" t="s">
        <v>877</v>
      </c>
      <c r="N193" s="189" t="s">
        <v>507</v>
      </c>
      <c r="O193" s="190">
        <v>2.778</v>
      </c>
      <c r="P193" s="191">
        <v>36</v>
      </c>
      <c r="Q193" s="192">
        <v>100</v>
      </c>
      <c r="R193" s="193">
        <v>13740</v>
      </c>
      <c r="S193" s="195"/>
      <c r="T193" s="194">
        <v>1</v>
      </c>
      <c r="U193" s="193">
        <v>13740</v>
      </c>
      <c r="V193" s="196">
        <f t="shared" si="28"/>
        <v>44896</v>
      </c>
      <c r="W193" s="197">
        <f t="shared" si="35"/>
        <v>13</v>
      </c>
      <c r="X193" s="197"/>
      <c r="Y193" s="198">
        <f t="shared" si="29"/>
        <v>0</v>
      </c>
      <c r="Z193" s="199">
        <f t="shared" si="36"/>
        <v>0</v>
      </c>
      <c r="AA193" s="198">
        <f t="shared" si="30"/>
        <v>0</v>
      </c>
      <c r="AB193" s="199">
        <f t="shared" si="37"/>
        <v>0</v>
      </c>
      <c r="AC193" s="198">
        <f t="shared" si="31"/>
        <v>0</v>
      </c>
      <c r="AD193" s="199">
        <f t="shared" si="38"/>
        <v>0</v>
      </c>
      <c r="AE193" s="198">
        <f t="shared" si="32"/>
        <v>0</v>
      </c>
      <c r="AF193" s="199">
        <f t="shared" si="39"/>
        <v>0</v>
      </c>
      <c r="AG193" s="198">
        <f t="shared" si="33"/>
        <v>1</v>
      </c>
      <c r="AH193" s="199">
        <f t="shared" si="40"/>
        <v>13740</v>
      </c>
      <c r="AI193" s="198">
        <f t="shared" si="34"/>
        <v>0</v>
      </c>
      <c r="AJ193" s="199">
        <f t="shared" si="41"/>
        <v>0</v>
      </c>
    </row>
    <row r="194" spans="1:36" ht="21.75" customHeight="1" x14ac:dyDescent="0.25">
      <c r="A194" s="185" t="s">
        <v>912</v>
      </c>
      <c r="B194" s="185" t="s">
        <v>776</v>
      </c>
      <c r="C194" s="185" t="s">
        <v>499</v>
      </c>
      <c r="D194" s="186" t="s">
        <v>508</v>
      </c>
      <c r="E194" s="185" t="s">
        <v>1101</v>
      </c>
      <c r="F194" s="187">
        <v>191</v>
      </c>
      <c r="G194" s="188" t="s">
        <v>880</v>
      </c>
      <c r="H194" s="189" t="s">
        <v>882</v>
      </c>
      <c r="I194" s="212" t="s">
        <v>1293</v>
      </c>
      <c r="J194" s="183"/>
      <c r="K194" s="183"/>
      <c r="L194" s="189" t="s">
        <v>534</v>
      </c>
      <c r="M194" s="183" t="s">
        <v>877</v>
      </c>
      <c r="N194" s="189" t="s">
        <v>507</v>
      </c>
      <c r="O194" s="190">
        <v>2.778</v>
      </c>
      <c r="P194" s="191">
        <v>36</v>
      </c>
      <c r="Q194" s="192">
        <v>100</v>
      </c>
      <c r="R194" s="193">
        <v>10758</v>
      </c>
      <c r="S194" s="195"/>
      <c r="T194" s="194">
        <v>1</v>
      </c>
      <c r="U194" s="193">
        <v>10758</v>
      </c>
      <c r="V194" s="196">
        <f t="shared" si="28"/>
        <v>44896</v>
      </c>
      <c r="W194" s="197">
        <f t="shared" si="35"/>
        <v>13</v>
      </c>
      <c r="X194" s="197"/>
      <c r="Y194" s="198">
        <f t="shared" si="29"/>
        <v>0</v>
      </c>
      <c r="Z194" s="199">
        <f t="shared" si="36"/>
        <v>0</v>
      </c>
      <c r="AA194" s="198">
        <f t="shared" si="30"/>
        <v>0</v>
      </c>
      <c r="AB194" s="199">
        <f t="shared" si="37"/>
        <v>0</v>
      </c>
      <c r="AC194" s="198">
        <f t="shared" si="31"/>
        <v>0</v>
      </c>
      <c r="AD194" s="199">
        <f t="shared" si="38"/>
        <v>0</v>
      </c>
      <c r="AE194" s="198">
        <f t="shared" si="32"/>
        <v>0</v>
      </c>
      <c r="AF194" s="199">
        <f t="shared" si="39"/>
        <v>0</v>
      </c>
      <c r="AG194" s="198">
        <f t="shared" si="33"/>
        <v>1</v>
      </c>
      <c r="AH194" s="199">
        <f t="shared" si="40"/>
        <v>10758</v>
      </c>
      <c r="AI194" s="198">
        <f t="shared" si="34"/>
        <v>0</v>
      </c>
      <c r="AJ194" s="199">
        <f t="shared" si="41"/>
        <v>0</v>
      </c>
    </row>
    <row r="195" spans="1:36" ht="21.75" customHeight="1" x14ac:dyDescent="0.25">
      <c r="A195" s="185" t="s">
        <v>912</v>
      </c>
      <c r="B195" s="185" t="s">
        <v>776</v>
      </c>
      <c r="C195" s="185" t="s">
        <v>499</v>
      </c>
      <c r="D195" s="186" t="s">
        <v>508</v>
      </c>
      <c r="E195" s="185" t="s">
        <v>1101</v>
      </c>
      <c r="F195" s="187">
        <v>192</v>
      </c>
      <c r="G195" s="188" t="s">
        <v>880</v>
      </c>
      <c r="H195" s="189" t="s">
        <v>883</v>
      </c>
      <c r="I195" s="212" t="s">
        <v>1293</v>
      </c>
      <c r="J195" s="183"/>
      <c r="K195" s="183"/>
      <c r="L195" s="189" t="s">
        <v>534</v>
      </c>
      <c r="M195" s="183" t="s">
        <v>877</v>
      </c>
      <c r="N195" s="189" t="s">
        <v>507</v>
      </c>
      <c r="O195" s="190">
        <v>2.778</v>
      </c>
      <c r="P195" s="191">
        <v>36</v>
      </c>
      <c r="Q195" s="192">
        <v>100</v>
      </c>
      <c r="R195" s="193">
        <v>10758</v>
      </c>
      <c r="S195" s="195"/>
      <c r="T195" s="194">
        <v>1</v>
      </c>
      <c r="U195" s="193">
        <v>10758</v>
      </c>
      <c r="V195" s="196">
        <f t="shared" si="28"/>
        <v>44896</v>
      </c>
      <c r="W195" s="197">
        <f t="shared" si="35"/>
        <v>13</v>
      </c>
      <c r="X195" s="197"/>
      <c r="Y195" s="198">
        <f t="shared" si="29"/>
        <v>0</v>
      </c>
      <c r="Z195" s="199">
        <f t="shared" si="36"/>
        <v>0</v>
      </c>
      <c r="AA195" s="198">
        <f t="shared" si="30"/>
        <v>0</v>
      </c>
      <c r="AB195" s="199">
        <f t="shared" si="37"/>
        <v>0</v>
      </c>
      <c r="AC195" s="198">
        <f t="shared" si="31"/>
        <v>0</v>
      </c>
      <c r="AD195" s="199">
        <f t="shared" si="38"/>
        <v>0</v>
      </c>
      <c r="AE195" s="198">
        <f t="shared" si="32"/>
        <v>0</v>
      </c>
      <c r="AF195" s="199">
        <f t="shared" si="39"/>
        <v>0</v>
      </c>
      <c r="AG195" s="198">
        <f t="shared" si="33"/>
        <v>1</v>
      </c>
      <c r="AH195" s="199">
        <f t="shared" si="40"/>
        <v>10758</v>
      </c>
      <c r="AI195" s="198">
        <f t="shared" si="34"/>
        <v>0</v>
      </c>
      <c r="AJ195" s="199">
        <f t="shared" si="41"/>
        <v>0</v>
      </c>
    </row>
    <row r="196" spans="1:36" ht="21.75" customHeight="1" x14ac:dyDescent="0.25">
      <c r="A196" s="185" t="s">
        <v>912</v>
      </c>
      <c r="B196" s="185" t="s">
        <v>776</v>
      </c>
      <c r="C196" s="185" t="s">
        <v>499</v>
      </c>
      <c r="D196" s="186" t="s">
        <v>508</v>
      </c>
      <c r="E196" s="185" t="s">
        <v>1101</v>
      </c>
      <c r="F196" s="187">
        <v>193</v>
      </c>
      <c r="G196" s="188" t="s">
        <v>880</v>
      </c>
      <c r="H196" s="189" t="s">
        <v>881</v>
      </c>
      <c r="I196" s="212" t="s">
        <v>1293</v>
      </c>
      <c r="J196" s="183"/>
      <c r="K196" s="183"/>
      <c r="L196" s="189" t="s">
        <v>534</v>
      </c>
      <c r="M196" s="183" t="s">
        <v>877</v>
      </c>
      <c r="N196" s="189" t="s">
        <v>507</v>
      </c>
      <c r="O196" s="190">
        <v>2.778</v>
      </c>
      <c r="P196" s="191">
        <v>36</v>
      </c>
      <c r="Q196" s="192">
        <v>100</v>
      </c>
      <c r="R196" s="193">
        <v>10758</v>
      </c>
      <c r="S196" s="195"/>
      <c r="T196" s="194">
        <v>1</v>
      </c>
      <c r="U196" s="193">
        <v>10758</v>
      </c>
      <c r="V196" s="196">
        <f t="shared" ref="V196:V223" si="42">IF((DATE(YEAR(M196),MONTH(M196)+1,1))=$V$2,"",DATE(YEAR(M196),MONTH(M196)+1,1))</f>
        <v>44896</v>
      </c>
      <c r="W196" s="197">
        <f t="shared" si="35"/>
        <v>13</v>
      </c>
      <c r="X196" s="197"/>
      <c r="Y196" s="198">
        <f t="shared" ref="Y196:Y223" si="43">IF(W196&gt;=121,T196,0)</f>
        <v>0</v>
      </c>
      <c r="Z196" s="199">
        <f t="shared" si="36"/>
        <v>0</v>
      </c>
      <c r="AA196" s="198">
        <f t="shared" ref="AA196:AA223" si="44">IF(W196&lt;=120,IF(W196&gt;=85,T196,0),0)</f>
        <v>0</v>
      </c>
      <c r="AB196" s="199">
        <f t="shared" si="37"/>
        <v>0</v>
      </c>
      <c r="AC196" s="198">
        <f t="shared" ref="AC196:AC223" si="45">IF(W196&lt;=84,IF(W196&gt;=61,T196,0),0)</f>
        <v>0</v>
      </c>
      <c r="AD196" s="199">
        <f t="shared" si="38"/>
        <v>0</v>
      </c>
      <c r="AE196" s="198">
        <f t="shared" ref="AE196:AE223" si="46">IF(W196&lt;=60,IF(W196&gt;=37,T196,0),0)</f>
        <v>0</v>
      </c>
      <c r="AF196" s="199">
        <f t="shared" si="39"/>
        <v>0</v>
      </c>
      <c r="AG196" s="198">
        <f t="shared" ref="AG196:AG223" si="47">IF(W196&lt;=36,IF(W196&gt;=13,T196,0),0)</f>
        <v>1</v>
      </c>
      <c r="AH196" s="199">
        <f t="shared" si="40"/>
        <v>10758</v>
      </c>
      <c r="AI196" s="198">
        <f t="shared" ref="AI196:AI223" si="48">IF(W196&lt;=12,T196,0)</f>
        <v>0</v>
      </c>
      <c r="AJ196" s="199">
        <f t="shared" si="41"/>
        <v>0</v>
      </c>
    </row>
    <row r="197" spans="1:36" ht="21.75" customHeight="1" x14ac:dyDescent="0.25">
      <c r="A197" s="185" t="s">
        <v>912</v>
      </c>
      <c r="B197" s="185" t="s">
        <v>776</v>
      </c>
      <c r="C197" s="185" t="s">
        <v>499</v>
      </c>
      <c r="D197" s="186" t="s">
        <v>508</v>
      </c>
      <c r="E197" s="185" t="s">
        <v>1101</v>
      </c>
      <c r="F197" s="187">
        <v>194</v>
      </c>
      <c r="G197" s="188" t="s">
        <v>884</v>
      </c>
      <c r="H197" s="189" t="s">
        <v>885</v>
      </c>
      <c r="I197" s="212" t="s">
        <v>1293</v>
      </c>
      <c r="J197" s="183"/>
      <c r="K197" s="183"/>
      <c r="L197" s="189" t="s">
        <v>534</v>
      </c>
      <c r="M197" s="183" t="s">
        <v>877</v>
      </c>
      <c r="N197" s="189" t="s">
        <v>507</v>
      </c>
      <c r="O197" s="190">
        <v>2.778</v>
      </c>
      <c r="P197" s="191">
        <v>36</v>
      </c>
      <c r="Q197" s="192">
        <v>100</v>
      </c>
      <c r="R197" s="193">
        <v>10758</v>
      </c>
      <c r="S197" s="195"/>
      <c r="T197" s="194">
        <v>1</v>
      </c>
      <c r="U197" s="193">
        <v>10758</v>
      </c>
      <c r="V197" s="196">
        <f t="shared" si="42"/>
        <v>44896</v>
      </c>
      <c r="W197" s="197">
        <f t="shared" ref="W197:W223" si="49">IF(V197&gt;$W$2,0,DATEDIF(V197,$W$2,"m")+1)</f>
        <v>13</v>
      </c>
      <c r="X197" s="197"/>
      <c r="Y197" s="198">
        <f t="shared" si="43"/>
        <v>0</v>
      </c>
      <c r="Z197" s="199">
        <f t="shared" ref="Z197:Z223" si="50">IF(Y197=0,0,$R197)</f>
        <v>0</v>
      </c>
      <c r="AA197" s="198">
        <f t="shared" si="44"/>
        <v>0</v>
      </c>
      <c r="AB197" s="199">
        <f t="shared" ref="AB197:AB223" si="51">IF(AA197=0,0,$R197)</f>
        <v>0</v>
      </c>
      <c r="AC197" s="198">
        <f t="shared" si="45"/>
        <v>0</v>
      </c>
      <c r="AD197" s="199">
        <f t="shared" ref="AD197:AD223" si="52">IF(AC197=0,0,$R197)</f>
        <v>0</v>
      </c>
      <c r="AE197" s="198">
        <f t="shared" si="46"/>
        <v>0</v>
      </c>
      <c r="AF197" s="199">
        <f t="shared" ref="AF197:AF223" si="53">IF(AE197=0,0,$R197)</f>
        <v>0</v>
      </c>
      <c r="AG197" s="198">
        <f t="shared" si="47"/>
        <v>1</v>
      </c>
      <c r="AH197" s="199">
        <f t="shared" ref="AH197:AH223" si="54">IF(AG197=0,0,$R197)</f>
        <v>10758</v>
      </c>
      <c r="AI197" s="198">
        <f t="shared" si="48"/>
        <v>0</v>
      </c>
      <c r="AJ197" s="199">
        <f t="shared" ref="AJ197:AJ223" si="55">IF(AI197=0,0,$R197)</f>
        <v>0</v>
      </c>
    </row>
    <row r="198" spans="1:36" ht="21.75" customHeight="1" x14ac:dyDescent="0.25">
      <c r="A198" s="185" t="s">
        <v>912</v>
      </c>
      <c r="B198" s="185" t="s">
        <v>776</v>
      </c>
      <c r="C198" s="185" t="s">
        <v>499</v>
      </c>
      <c r="D198" s="186" t="s">
        <v>508</v>
      </c>
      <c r="E198" s="185" t="s">
        <v>1101</v>
      </c>
      <c r="F198" s="187">
        <v>195</v>
      </c>
      <c r="G198" s="188" t="s">
        <v>884</v>
      </c>
      <c r="H198" s="189" t="s">
        <v>886</v>
      </c>
      <c r="I198" s="212" t="s">
        <v>1293</v>
      </c>
      <c r="J198" s="183"/>
      <c r="K198" s="183"/>
      <c r="L198" s="189" t="s">
        <v>534</v>
      </c>
      <c r="M198" s="183" t="s">
        <v>877</v>
      </c>
      <c r="N198" s="189" t="s">
        <v>507</v>
      </c>
      <c r="O198" s="190">
        <v>2.778</v>
      </c>
      <c r="P198" s="191">
        <v>36</v>
      </c>
      <c r="Q198" s="192">
        <v>100</v>
      </c>
      <c r="R198" s="193">
        <v>10758</v>
      </c>
      <c r="S198" s="195"/>
      <c r="T198" s="194">
        <v>1</v>
      </c>
      <c r="U198" s="193">
        <v>10758</v>
      </c>
      <c r="V198" s="196">
        <f t="shared" si="42"/>
        <v>44896</v>
      </c>
      <c r="W198" s="197">
        <f t="shared" si="49"/>
        <v>13</v>
      </c>
      <c r="X198" s="197"/>
      <c r="Y198" s="198">
        <f t="shared" si="43"/>
        <v>0</v>
      </c>
      <c r="Z198" s="199">
        <f t="shared" si="50"/>
        <v>0</v>
      </c>
      <c r="AA198" s="198">
        <f t="shared" si="44"/>
        <v>0</v>
      </c>
      <c r="AB198" s="199">
        <f t="shared" si="51"/>
        <v>0</v>
      </c>
      <c r="AC198" s="198">
        <f t="shared" si="45"/>
        <v>0</v>
      </c>
      <c r="AD198" s="199">
        <f t="shared" si="52"/>
        <v>0</v>
      </c>
      <c r="AE198" s="198">
        <f t="shared" si="46"/>
        <v>0</v>
      </c>
      <c r="AF198" s="199">
        <f t="shared" si="53"/>
        <v>0</v>
      </c>
      <c r="AG198" s="198">
        <f t="shared" si="47"/>
        <v>1</v>
      </c>
      <c r="AH198" s="199">
        <f t="shared" si="54"/>
        <v>10758</v>
      </c>
      <c r="AI198" s="198">
        <f t="shared" si="48"/>
        <v>0</v>
      </c>
      <c r="AJ198" s="199">
        <f t="shared" si="55"/>
        <v>0</v>
      </c>
    </row>
    <row r="199" spans="1:36" ht="21.75" customHeight="1" x14ac:dyDescent="0.25">
      <c r="A199" s="185" t="s">
        <v>912</v>
      </c>
      <c r="B199" s="185" t="s">
        <v>776</v>
      </c>
      <c r="C199" s="185" t="s">
        <v>499</v>
      </c>
      <c r="D199" s="186" t="s">
        <v>508</v>
      </c>
      <c r="E199" s="185" t="s">
        <v>1101</v>
      </c>
      <c r="F199" s="187">
        <v>196</v>
      </c>
      <c r="G199" s="188" t="s">
        <v>884</v>
      </c>
      <c r="H199" s="189" t="s">
        <v>887</v>
      </c>
      <c r="I199" s="212" t="s">
        <v>1293</v>
      </c>
      <c r="J199" s="183"/>
      <c r="K199" s="183"/>
      <c r="L199" s="189" t="s">
        <v>534</v>
      </c>
      <c r="M199" s="183" t="s">
        <v>877</v>
      </c>
      <c r="N199" s="189" t="s">
        <v>507</v>
      </c>
      <c r="O199" s="190">
        <v>2.778</v>
      </c>
      <c r="P199" s="191">
        <v>36</v>
      </c>
      <c r="Q199" s="192">
        <v>100</v>
      </c>
      <c r="R199" s="193">
        <v>10758</v>
      </c>
      <c r="S199" s="195"/>
      <c r="T199" s="194">
        <v>1</v>
      </c>
      <c r="U199" s="193">
        <v>10758</v>
      </c>
      <c r="V199" s="196">
        <f t="shared" si="42"/>
        <v>44896</v>
      </c>
      <c r="W199" s="197">
        <f t="shared" si="49"/>
        <v>13</v>
      </c>
      <c r="X199" s="197"/>
      <c r="Y199" s="198">
        <f t="shared" si="43"/>
        <v>0</v>
      </c>
      <c r="Z199" s="199">
        <f t="shared" si="50"/>
        <v>0</v>
      </c>
      <c r="AA199" s="198">
        <f t="shared" si="44"/>
        <v>0</v>
      </c>
      <c r="AB199" s="199">
        <f t="shared" si="51"/>
        <v>0</v>
      </c>
      <c r="AC199" s="198">
        <f t="shared" si="45"/>
        <v>0</v>
      </c>
      <c r="AD199" s="199">
        <f t="shared" si="52"/>
        <v>0</v>
      </c>
      <c r="AE199" s="198">
        <f t="shared" si="46"/>
        <v>0</v>
      </c>
      <c r="AF199" s="199">
        <f t="shared" si="53"/>
        <v>0</v>
      </c>
      <c r="AG199" s="198">
        <f t="shared" si="47"/>
        <v>1</v>
      </c>
      <c r="AH199" s="199">
        <f t="shared" si="54"/>
        <v>10758</v>
      </c>
      <c r="AI199" s="198">
        <f t="shared" si="48"/>
        <v>0</v>
      </c>
      <c r="AJ199" s="199">
        <f t="shared" si="55"/>
        <v>0</v>
      </c>
    </row>
    <row r="200" spans="1:36" ht="21.75" customHeight="1" x14ac:dyDescent="0.25">
      <c r="A200" s="185" t="s">
        <v>912</v>
      </c>
      <c r="B200" s="185" t="s">
        <v>776</v>
      </c>
      <c r="C200" s="185" t="s">
        <v>499</v>
      </c>
      <c r="D200" s="186" t="s">
        <v>508</v>
      </c>
      <c r="E200" s="185" t="s">
        <v>1101</v>
      </c>
      <c r="F200" s="187">
        <v>197</v>
      </c>
      <c r="G200" s="188" t="s">
        <v>888</v>
      </c>
      <c r="H200" s="189" t="s">
        <v>893</v>
      </c>
      <c r="I200" s="212" t="s">
        <v>1293</v>
      </c>
      <c r="J200" s="183"/>
      <c r="K200" s="183"/>
      <c r="L200" s="189" t="s">
        <v>534</v>
      </c>
      <c r="M200" s="183" t="s">
        <v>877</v>
      </c>
      <c r="N200" s="189" t="s">
        <v>507</v>
      </c>
      <c r="O200" s="190">
        <v>2.778</v>
      </c>
      <c r="P200" s="191">
        <v>36</v>
      </c>
      <c r="Q200" s="192">
        <v>100</v>
      </c>
      <c r="R200" s="193">
        <v>12642</v>
      </c>
      <c r="S200" s="195"/>
      <c r="T200" s="194">
        <v>1</v>
      </c>
      <c r="U200" s="193">
        <v>12642</v>
      </c>
      <c r="V200" s="196">
        <f t="shared" si="42"/>
        <v>44896</v>
      </c>
      <c r="W200" s="197">
        <f t="shared" si="49"/>
        <v>13</v>
      </c>
      <c r="X200" s="197"/>
      <c r="Y200" s="198">
        <f t="shared" si="43"/>
        <v>0</v>
      </c>
      <c r="Z200" s="199">
        <f t="shared" si="50"/>
        <v>0</v>
      </c>
      <c r="AA200" s="198">
        <f t="shared" si="44"/>
        <v>0</v>
      </c>
      <c r="AB200" s="199">
        <f t="shared" si="51"/>
        <v>0</v>
      </c>
      <c r="AC200" s="198">
        <f t="shared" si="45"/>
        <v>0</v>
      </c>
      <c r="AD200" s="199">
        <f t="shared" si="52"/>
        <v>0</v>
      </c>
      <c r="AE200" s="198">
        <f t="shared" si="46"/>
        <v>0</v>
      </c>
      <c r="AF200" s="199">
        <f t="shared" si="53"/>
        <v>0</v>
      </c>
      <c r="AG200" s="198">
        <f t="shared" si="47"/>
        <v>1</v>
      </c>
      <c r="AH200" s="199">
        <f t="shared" si="54"/>
        <v>12642</v>
      </c>
      <c r="AI200" s="198">
        <f t="shared" si="48"/>
        <v>0</v>
      </c>
      <c r="AJ200" s="199">
        <f t="shared" si="55"/>
        <v>0</v>
      </c>
    </row>
    <row r="201" spans="1:36" ht="21.75" customHeight="1" x14ac:dyDescent="0.25">
      <c r="A201" s="185" t="s">
        <v>912</v>
      </c>
      <c r="B201" s="185" t="s">
        <v>776</v>
      </c>
      <c r="C201" s="185" t="s">
        <v>499</v>
      </c>
      <c r="D201" s="186" t="s">
        <v>508</v>
      </c>
      <c r="E201" s="185" t="s">
        <v>1101</v>
      </c>
      <c r="F201" s="187">
        <v>198</v>
      </c>
      <c r="G201" s="188" t="s">
        <v>888</v>
      </c>
      <c r="H201" s="189" t="s">
        <v>894</v>
      </c>
      <c r="I201" s="212" t="s">
        <v>1293</v>
      </c>
      <c r="J201" s="183"/>
      <c r="K201" s="183"/>
      <c r="L201" s="189" t="s">
        <v>534</v>
      </c>
      <c r="M201" s="183" t="s">
        <v>877</v>
      </c>
      <c r="N201" s="189" t="s">
        <v>507</v>
      </c>
      <c r="O201" s="190">
        <v>2.778</v>
      </c>
      <c r="P201" s="191">
        <v>36</v>
      </c>
      <c r="Q201" s="192">
        <v>100</v>
      </c>
      <c r="R201" s="193">
        <v>12642</v>
      </c>
      <c r="S201" s="195"/>
      <c r="T201" s="194">
        <v>1</v>
      </c>
      <c r="U201" s="193">
        <v>12642</v>
      </c>
      <c r="V201" s="196">
        <f t="shared" si="42"/>
        <v>44896</v>
      </c>
      <c r="W201" s="197">
        <f t="shared" si="49"/>
        <v>13</v>
      </c>
      <c r="X201" s="197"/>
      <c r="Y201" s="198">
        <f t="shared" si="43"/>
        <v>0</v>
      </c>
      <c r="Z201" s="199">
        <f t="shared" si="50"/>
        <v>0</v>
      </c>
      <c r="AA201" s="198">
        <f t="shared" si="44"/>
        <v>0</v>
      </c>
      <c r="AB201" s="199">
        <f t="shared" si="51"/>
        <v>0</v>
      </c>
      <c r="AC201" s="198">
        <f t="shared" si="45"/>
        <v>0</v>
      </c>
      <c r="AD201" s="199">
        <f t="shared" si="52"/>
        <v>0</v>
      </c>
      <c r="AE201" s="198">
        <f t="shared" si="46"/>
        <v>0</v>
      </c>
      <c r="AF201" s="199">
        <f t="shared" si="53"/>
        <v>0</v>
      </c>
      <c r="AG201" s="198">
        <f t="shared" si="47"/>
        <v>1</v>
      </c>
      <c r="AH201" s="199">
        <f t="shared" si="54"/>
        <v>12642</v>
      </c>
      <c r="AI201" s="198">
        <f t="shared" si="48"/>
        <v>0</v>
      </c>
      <c r="AJ201" s="199">
        <f t="shared" si="55"/>
        <v>0</v>
      </c>
    </row>
    <row r="202" spans="1:36" ht="21.75" customHeight="1" x14ac:dyDescent="0.25">
      <c r="A202" s="185" t="s">
        <v>912</v>
      </c>
      <c r="B202" s="185" t="s">
        <v>776</v>
      </c>
      <c r="C202" s="185" t="s">
        <v>499</v>
      </c>
      <c r="D202" s="186" t="s">
        <v>508</v>
      </c>
      <c r="E202" s="185" t="s">
        <v>1101</v>
      </c>
      <c r="F202" s="187">
        <v>199</v>
      </c>
      <c r="G202" s="188" t="s">
        <v>888</v>
      </c>
      <c r="H202" s="189" t="s">
        <v>890</v>
      </c>
      <c r="I202" s="212" t="s">
        <v>1293</v>
      </c>
      <c r="J202" s="183"/>
      <c r="K202" s="183"/>
      <c r="L202" s="189" t="s">
        <v>534</v>
      </c>
      <c r="M202" s="183" t="s">
        <v>877</v>
      </c>
      <c r="N202" s="189" t="s">
        <v>507</v>
      </c>
      <c r="O202" s="190">
        <v>2.778</v>
      </c>
      <c r="P202" s="191">
        <v>36</v>
      </c>
      <c r="Q202" s="192">
        <v>100</v>
      </c>
      <c r="R202" s="193">
        <v>12642</v>
      </c>
      <c r="S202" s="195"/>
      <c r="T202" s="194">
        <v>1</v>
      </c>
      <c r="U202" s="193">
        <v>12642</v>
      </c>
      <c r="V202" s="196">
        <f t="shared" si="42"/>
        <v>44896</v>
      </c>
      <c r="W202" s="197">
        <f t="shared" si="49"/>
        <v>13</v>
      </c>
      <c r="X202" s="197"/>
      <c r="Y202" s="198">
        <f t="shared" si="43"/>
        <v>0</v>
      </c>
      <c r="Z202" s="199">
        <f t="shared" si="50"/>
        <v>0</v>
      </c>
      <c r="AA202" s="198">
        <f t="shared" si="44"/>
        <v>0</v>
      </c>
      <c r="AB202" s="199">
        <f t="shared" si="51"/>
        <v>0</v>
      </c>
      <c r="AC202" s="198">
        <f t="shared" si="45"/>
        <v>0</v>
      </c>
      <c r="AD202" s="199">
        <f t="shared" si="52"/>
        <v>0</v>
      </c>
      <c r="AE202" s="198">
        <f t="shared" si="46"/>
        <v>0</v>
      </c>
      <c r="AF202" s="199">
        <f t="shared" si="53"/>
        <v>0</v>
      </c>
      <c r="AG202" s="198">
        <f t="shared" si="47"/>
        <v>1</v>
      </c>
      <c r="AH202" s="199">
        <f t="shared" si="54"/>
        <v>12642</v>
      </c>
      <c r="AI202" s="198">
        <f t="shared" si="48"/>
        <v>0</v>
      </c>
      <c r="AJ202" s="199">
        <f t="shared" si="55"/>
        <v>0</v>
      </c>
    </row>
    <row r="203" spans="1:36" ht="21.75" customHeight="1" x14ac:dyDescent="0.25">
      <c r="A203" s="185" t="s">
        <v>912</v>
      </c>
      <c r="B203" s="185" t="s">
        <v>776</v>
      </c>
      <c r="C203" s="185" t="s">
        <v>499</v>
      </c>
      <c r="D203" s="186" t="s">
        <v>508</v>
      </c>
      <c r="E203" s="185" t="s">
        <v>1101</v>
      </c>
      <c r="F203" s="187">
        <v>200</v>
      </c>
      <c r="G203" s="188" t="s">
        <v>888</v>
      </c>
      <c r="H203" s="189" t="s">
        <v>889</v>
      </c>
      <c r="I203" s="212" t="s">
        <v>1293</v>
      </c>
      <c r="J203" s="183"/>
      <c r="K203" s="183"/>
      <c r="L203" s="189" t="s">
        <v>534</v>
      </c>
      <c r="M203" s="183" t="s">
        <v>877</v>
      </c>
      <c r="N203" s="189" t="s">
        <v>507</v>
      </c>
      <c r="O203" s="190">
        <v>2.778</v>
      </c>
      <c r="P203" s="191">
        <v>36</v>
      </c>
      <c r="Q203" s="192">
        <v>100</v>
      </c>
      <c r="R203" s="193">
        <v>12642</v>
      </c>
      <c r="S203" s="195"/>
      <c r="T203" s="194">
        <v>1</v>
      </c>
      <c r="U203" s="193">
        <v>12642</v>
      </c>
      <c r="V203" s="196">
        <f t="shared" si="42"/>
        <v>44896</v>
      </c>
      <c r="W203" s="197">
        <f t="shared" si="49"/>
        <v>13</v>
      </c>
      <c r="X203" s="197"/>
      <c r="Y203" s="198">
        <f t="shared" si="43"/>
        <v>0</v>
      </c>
      <c r="Z203" s="199">
        <f t="shared" si="50"/>
        <v>0</v>
      </c>
      <c r="AA203" s="198">
        <f t="shared" si="44"/>
        <v>0</v>
      </c>
      <c r="AB203" s="199">
        <f t="shared" si="51"/>
        <v>0</v>
      </c>
      <c r="AC203" s="198">
        <f t="shared" si="45"/>
        <v>0</v>
      </c>
      <c r="AD203" s="199">
        <f t="shared" si="52"/>
        <v>0</v>
      </c>
      <c r="AE203" s="198">
        <f t="shared" si="46"/>
        <v>0</v>
      </c>
      <c r="AF203" s="199">
        <f t="shared" si="53"/>
        <v>0</v>
      </c>
      <c r="AG203" s="198">
        <f t="shared" si="47"/>
        <v>1</v>
      </c>
      <c r="AH203" s="199">
        <f t="shared" si="54"/>
        <v>12642</v>
      </c>
      <c r="AI203" s="198">
        <f t="shared" si="48"/>
        <v>0</v>
      </c>
      <c r="AJ203" s="199">
        <f t="shared" si="55"/>
        <v>0</v>
      </c>
    </row>
    <row r="204" spans="1:36" ht="21.75" customHeight="1" x14ac:dyDescent="0.25">
      <c r="A204" s="185" t="s">
        <v>912</v>
      </c>
      <c r="B204" s="185" t="s">
        <v>776</v>
      </c>
      <c r="C204" s="185" t="s">
        <v>499</v>
      </c>
      <c r="D204" s="186" t="s">
        <v>508</v>
      </c>
      <c r="E204" s="185" t="s">
        <v>1101</v>
      </c>
      <c r="F204" s="187">
        <v>201</v>
      </c>
      <c r="G204" s="188" t="s">
        <v>888</v>
      </c>
      <c r="H204" s="189" t="s">
        <v>891</v>
      </c>
      <c r="I204" s="212" t="s">
        <v>1293</v>
      </c>
      <c r="J204" s="183"/>
      <c r="K204" s="183"/>
      <c r="L204" s="189" t="s">
        <v>534</v>
      </c>
      <c r="M204" s="183" t="s">
        <v>877</v>
      </c>
      <c r="N204" s="189" t="s">
        <v>507</v>
      </c>
      <c r="O204" s="190">
        <v>2.778</v>
      </c>
      <c r="P204" s="191">
        <v>36</v>
      </c>
      <c r="Q204" s="192">
        <v>100</v>
      </c>
      <c r="R204" s="193">
        <v>12642</v>
      </c>
      <c r="S204" s="195"/>
      <c r="T204" s="194">
        <v>1</v>
      </c>
      <c r="U204" s="193">
        <v>12642</v>
      </c>
      <c r="V204" s="196">
        <f t="shared" si="42"/>
        <v>44896</v>
      </c>
      <c r="W204" s="197">
        <f t="shared" si="49"/>
        <v>13</v>
      </c>
      <c r="X204" s="197"/>
      <c r="Y204" s="198">
        <f t="shared" si="43"/>
        <v>0</v>
      </c>
      <c r="Z204" s="199">
        <f t="shared" si="50"/>
        <v>0</v>
      </c>
      <c r="AA204" s="198">
        <f t="shared" si="44"/>
        <v>0</v>
      </c>
      <c r="AB204" s="199">
        <f t="shared" si="51"/>
        <v>0</v>
      </c>
      <c r="AC204" s="198">
        <f t="shared" si="45"/>
        <v>0</v>
      </c>
      <c r="AD204" s="199">
        <f t="shared" si="52"/>
        <v>0</v>
      </c>
      <c r="AE204" s="198">
        <f t="shared" si="46"/>
        <v>0</v>
      </c>
      <c r="AF204" s="199">
        <f t="shared" si="53"/>
        <v>0</v>
      </c>
      <c r="AG204" s="198">
        <f t="shared" si="47"/>
        <v>1</v>
      </c>
      <c r="AH204" s="199">
        <f t="shared" si="54"/>
        <v>12642</v>
      </c>
      <c r="AI204" s="198">
        <f t="shared" si="48"/>
        <v>0</v>
      </c>
      <c r="AJ204" s="199">
        <f t="shared" si="55"/>
        <v>0</v>
      </c>
    </row>
    <row r="205" spans="1:36" ht="21.75" customHeight="1" x14ac:dyDescent="0.25">
      <c r="A205" s="185" t="s">
        <v>912</v>
      </c>
      <c r="B205" s="185" t="s">
        <v>776</v>
      </c>
      <c r="C205" s="185" t="s">
        <v>499</v>
      </c>
      <c r="D205" s="186" t="s">
        <v>508</v>
      </c>
      <c r="E205" s="185" t="s">
        <v>1101</v>
      </c>
      <c r="F205" s="187">
        <v>202</v>
      </c>
      <c r="G205" s="188" t="s">
        <v>888</v>
      </c>
      <c r="H205" s="189" t="s">
        <v>892</v>
      </c>
      <c r="I205" s="212" t="s">
        <v>1293</v>
      </c>
      <c r="J205" s="183"/>
      <c r="K205" s="183"/>
      <c r="L205" s="189" t="s">
        <v>534</v>
      </c>
      <c r="M205" s="183" t="s">
        <v>877</v>
      </c>
      <c r="N205" s="189" t="s">
        <v>507</v>
      </c>
      <c r="O205" s="190">
        <v>2.778</v>
      </c>
      <c r="P205" s="191">
        <v>36</v>
      </c>
      <c r="Q205" s="192">
        <v>100</v>
      </c>
      <c r="R205" s="193">
        <v>12642</v>
      </c>
      <c r="S205" s="195"/>
      <c r="T205" s="194">
        <v>1</v>
      </c>
      <c r="U205" s="193">
        <v>12642</v>
      </c>
      <c r="V205" s="196">
        <f t="shared" si="42"/>
        <v>44896</v>
      </c>
      <c r="W205" s="197">
        <f t="shared" si="49"/>
        <v>13</v>
      </c>
      <c r="X205" s="197"/>
      <c r="Y205" s="198">
        <f t="shared" si="43"/>
        <v>0</v>
      </c>
      <c r="Z205" s="199">
        <f t="shared" si="50"/>
        <v>0</v>
      </c>
      <c r="AA205" s="198">
        <f t="shared" si="44"/>
        <v>0</v>
      </c>
      <c r="AB205" s="199">
        <f t="shared" si="51"/>
        <v>0</v>
      </c>
      <c r="AC205" s="198">
        <f t="shared" si="45"/>
        <v>0</v>
      </c>
      <c r="AD205" s="199">
        <f t="shared" si="52"/>
        <v>0</v>
      </c>
      <c r="AE205" s="198">
        <f t="shared" si="46"/>
        <v>0</v>
      </c>
      <c r="AF205" s="199">
        <f t="shared" si="53"/>
        <v>0</v>
      </c>
      <c r="AG205" s="198">
        <f t="shared" si="47"/>
        <v>1</v>
      </c>
      <c r="AH205" s="199">
        <f t="shared" si="54"/>
        <v>12642</v>
      </c>
      <c r="AI205" s="198">
        <f t="shared" si="48"/>
        <v>0</v>
      </c>
      <c r="AJ205" s="199">
        <f t="shared" si="55"/>
        <v>0</v>
      </c>
    </row>
    <row r="206" spans="1:36" ht="21.75" customHeight="1" x14ac:dyDescent="0.25">
      <c r="A206" s="185" t="s">
        <v>912</v>
      </c>
      <c r="B206" s="185" t="s">
        <v>776</v>
      </c>
      <c r="C206" s="185" t="s">
        <v>499</v>
      </c>
      <c r="D206" s="186" t="s">
        <v>508</v>
      </c>
      <c r="E206" s="185" t="s">
        <v>1101</v>
      </c>
      <c r="F206" s="187">
        <v>203</v>
      </c>
      <c r="G206" s="188" t="s">
        <v>895</v>
      </c>
      <c r="H206" s="189" t="s">
        <v>896</v>
      </c>
      <c r="I206" s="212" t="s">
        <v>1293</v>
      </c>
      <c r="J206" s="183"/>
      <c r="K206" s="183"/>
      <c r="L206" s="189" t="s">
        <v>534</v>
      </c>
      <c r="M206" s="183" t="s">
        <v>877</v>
      </c>
      <c r="N206" s="189" t="s">
        <v>507</v>
      </c>
      <c r="O206" s="190">
        <v>2.778</v>
      </c>
      <c r="P206" s="191">
        <v>36</v>
      </c>
      <c r="Q206" s="192">
        <v>100</v>
      </c>
      <c r="R206" s="193">
        <v>18013.2</v>
      </c>
      <c r="S206" s="195"/>
      <c r="T206" s="194">
        <v>1</v>
      </c>
      <c r="U206" s="193">
        <v>18013.2</v>
      </c>
      <c r="V206" s="196">
        <f t="shared" si="42"/>
        <v>44896</v>
      </c>
      <c r="W206" s="197">
        <f t="shared" si="49"/>
        <v>13</v>
      </c>
      <c r="X206" s="197"/>
      <c r="Y206" s="198">
        <f t="shared" si="43"/>
        <v>0</v>
      </c>
      <c r="Z206" s="199">
        <f t="shared" si="50"/>
        <v>0</v>
      </c>
      <c r="AA206" s="198">
        <f t="shared" si="44"/>
        <v>0</v>
      </c>
      <c r="AB206" s="199">
        <f t="shared" si="51"/>
        <v>0</v>
      </c>
      <c r="AC206" s="198">
        <f t="shared" si="45"/>
        <v>0</v>
      </c>
      <c r="AD206" s="199">
        <f t="shared" si="52"/>
        <v>0</v>
      </c>
      <c r="AE206" s="198">
        <f t="shared" si="46"/>
        <v>0</v>
      </c>
      <c r="AF206" s="199">
        <f t="shared" si="53"/>
        <v>0</v>
      </c>
      <c r="AG206" s="198">
        <f t="shared" si="47"/>
        <v>1</v>
      </c>
      <c r="AH206" s="199">
        <f t="shared" si="54"/>
        <v>18013.2</v>
      </c>
      <c r="AI206" s="198">
        <f t="shared" si="48"/>
        <v>0</v>
      </c>
      <c r="AJ206" s="199">
        <f t="shared" si="55"/>
        <v>0</v>
      </c>
    </row>
    <row r="207" spans="1:36" ht="21.75" customHeight="1" x14ac:dyDescent="0.25">
      <c r="A207" s="185" t="s">
        <v>912</v>
      </c>
      <c r="B207" s="185" t="s">
        <v>776</v>
      </c>
      <c r="C207" s="185" t="s">
        <v>499</v>
      </c>
      <c r="D207" s="186" t="s">
        <v>508</v>
      </c>
      <c r="E207" s="185" t="s">
        <v>1101</v>
      </c>
      <c r="F207" s="187">
        <v>204</v>
      </c>
      <c r="G207" s="188" t="s">
        <v>897</v>
      </c>
      <c r="H207" s="189" t="s">
        <v>898</v>
      </c>
      <c r="I207" s="212" t="s">
        <v>1293</v>
      </c>
      <c r="J207" s="183"/>
      <c r="K207" s="183"/>
      <c r="L207" s="189" t="s">
        <v>534</v>
      </c>
      <c r="M207" s="183" t="s">
        <v>877</v>
      </c>
      <c r="N207" s="189" t="s">
        <v>507</v>
      </c>
      <c r="O207" s="190">
        <v>2.778</v>
      </c>
      <c r="P207" s="191">
        <v>36</v>
      </c>
      <c r="Q207" s="192">
        <v>100</v>
      </c>
      <c r="R207" s="193">
        <v>18013.2</v>
      </c>
      <c r="S207" s="195"/>
      <c r="T207" s="194">
        <v>1</v>
      </c>
      <c r="U207" s="193">
        <v>18013.2</v>
      </c>
      <c r="V207" s="196">
        <f t="shared" si="42"/>
        <v>44896</v>
      </c>
      <c r="W207" s="197">
        <f t="shared" si="49"/>
        <v>13</v>
      </c>
      <c r="X207" s="197"/>
      <c r="Y207" s="198">
        <f t="shared" si="43"/>
        <v>0</v>
      </c>
      <c r="Z207" s="199">
        <f t="shared" si="50"/>
        <v>0</v>
      </c>
      <c r="AA207" s="198">
        <f t="shared" si="44"/>
        <v>0</v>
      </c>
      <c r="AB207" s="199">
        <f t="shared" si="51"/>
        <v>0</v>
      </c>
      <c r="AC207" s="198">
        <f t="shared" si="45"/>
        <v>0</v>
      </c>
      <c r="AD207" s="199">
        <f t="shared" si="52"/>
        <v>0</v>
      </c>
      <c r="AE207" s="198">
        <f t="shared" si="46"/>
        <v>0</v>
      </c>
      <c r="AF207" s="199">
        <f t="shared" si="53"/>
        <v>0</v>
      </c>
      <c r="AG207" s="198">
        <f t="shared" si="47"/>
        <v>1</v>
      </c>
      <c r="AH207" s="199">
        <f t="shared" si="54"/>
        <v>18013.2</v>
      </c>
      <c r="AI207" s="198">
        <f t="shared" si="48"/>
        <v>0</v>
      </c>
      <c r="AJ207" s="199">
        <f t="shared" si="55"/>
        <v>0</v>
      </c>
    </row>
    <row r="208" spans="1:36" ht="21.75" customHeight="1" x14ac:dyDescent="0.25">
      <c r="A208" s="185" t="s">
        <v>912</v>
      </c>
      <c r="B208" s="185" t="s">
        <v>776</v>
      </c>
      <c r="C208" s="185" t="s">
        <v>499</v>
      </c>
      <c r="D208" s="186" t="s">
        <v>508</v>
      </c>
      <c r="E208" s="185" t="s">
        <v>1101</v>
      </c>
      <c r="F208" s="187">
        <v>205</v>
      </c>
      <c r="G208" s="188" t="s">
        <v>899</v>
      </c>
      <c r="H208" s="189" t="s">
        <v>900</v>
      </c>
      <c r="I208" s="212" t="s">
        <v>1293</v>
      </c>
      <c r="J208" s="183"/>
      <c r="K208" s="183"/>
      <c r="L208" s="189" t="s">
        <v>534</v>
      </c>
      <c r="M208" s="183" t="s">
        <v>877</v>
      </c>
      <c r="N208" s="189" t="s">
        <v>507</v>
      </c>
      <c r="O208" s="190">
        <v>2.778</v>
      </c>
      <c r="P208" s="191">
        <v>36</v>
      </c>
      <c r="Q208" s="192">
        <v>100</v>
      </c>
      <c r="R208" s="193">
        <v>14204.4</v>
      </c>
      <c r="S208" s="195"/>
      <c r="T208" s="194">
        <v>1</v>
      </c>
      <c r="U208" s="193">
        <v>14204.4</v>
      </c>
      <c r="V208" s="196">
        <f t="shared" si="42"/>
        <v>44896</v>
      </c>
      <c r="W208" s="197">
        <f t="shared" si="49"/>
        <v>13</v>
      </c>
      <c r="X208" s="197"/>
      <c r="Y208" s="198">
        <f t="shared" si="43"/>
        <v>0</v>
      </c>
      <c r="Z208" s="199">
        <f t="shared" si="50"/>
        <v>0</v>
      </c>
      <c r="AA208" s="198">
        <f t="shared" si="44"/>
        <v>0</v>
      </c>
      <c r="AB208" s="199">
        <f t="shared" si="51"/>
        <v>0</v>
      </c>
      <c r="AC208" s="198">
        <f t="shared" si="45"/>
        <v>0</v>
      </c>
      <c r="AD208" s="199">
        <f t="shared" si="52"/>
        <v>0</v>
      </c>
      <c r="AE208" s="198">
        <f t="shared" si="46"/>
        <v>0</v>
      </c>
      <c r="AF208" s="199">
        <f t="shared" si="53"/>
        <v>0</v>
      </c>
      <c r="AG208" s="198">
        <f t="shared" si="47"/>
        <v>1</v>
      </c>
      <c r="AH208" s="199">
        <f t="shared" si="54"/>
        <v>14204.4</v>
      </c>
      <c r="AI208" s="198">
        <f t="shared" si="48"/>
        <v>0</v>
      </c>
      <c r="AJ208" s="199">
        <f t="shared" si="55"/>
        <v>0</v>
      </c>
    </row>
    <row r="209" spans="1:38" ht="21.75" customHeight="1" x14ac:dyDescent="0.25">
      <c r="A209" s="185" t="s">
        <v>912</v>
      </c>
      <c r="B209" s="185" t="s">
        <v>776</v>
      </c>
      <c r="C209" s="185" t="s">
        <v>499</v>
      </c>
      <c r="D209" s="186" t="s">
        <v>508</v>
      </c>
      <c r="E209" s="185" t="s">
        <v>1101</v>
      </c>
      <c r="F209" s="187">
        <v>206</v>
      </c>
      <c r="G209" s="188" t="s">
        <v>899</v>
      </c>
      <c r="H209" s="189" t="s">
        <v>901</v>
      </c>
      <c r="I209" s="212" t="s">
        <v>1293</v>
      </c>
      <c r="J209" s="183"/>
      <c r="K209" s="183"/>
      <c r="L209" s="189" t="s">
        <v>534</v>
      </c>
      <c r="M209" s="183" t="s">
        <v>877</v>
      </c>
      <c r="N209" s="189" t="s">
        <v>507</v>
      </c>
      <c r="O209" s="190">
        <v>2.778</v>
      </c>
      <c r="P209" s="191">
        <v>36</v>
      </c>
      <c r="Q209" s="192">
        <v>100</v>
      </c>
      <c r="R209" s="193">
        <v>14204.4</v>
      </c>
      <c r="S209" s="195"/>
      <c r="T209" s="194">
        <v>1</v>
      </c>
      <c r="U209" s="193">
        <v>14204.4</v>
      </c>
      <c r="V209" s="196">
        <f t="shared" si="42"/>
        <v>44896</v>
      </c>
      <c r="W209" s="197">
        <f t="shared" si="49"/>
        <v>13</v>
      </c>
      <c r="X209" s="197"/>
      <c r="Y209" s="198">
        <f t="shared" si="43"/>
        <v>0</v>
      </c>
      <c r="Z209" s="199">
        <f t="shared" si="50"/>
        <v>0</v>
      </c>
      <c r="AA209" s="198">
        <f t="shared" si="44"/>
        <v>0</v>
      </c>
      <c r="AB209" s="199">
        <f t="shared" si="51"/>
        <v>0</v>
      </c>
      <c r="AC209" s="198">
        <f t="shared" si="45"/>
        <v>0</v>
      </c>
      <c r="AD209" s="199">
        <f t="shared" si="52"/>
        <v>0</v>
      </c>
      <c r="AE209" s="198">
        <f t="shared" si="46"/>
        <v>0</v>
      </c>
      <c r="AF209" s="199">
        <f t="shared" si="53"/>
        <v>0</v>
      </c>
      <c r="AG209" s="198">
        <f t="shared" si="47"/>
        <v>1</v>
      </c>
      <c r="AH209" s="199">
        <f t="shared" si="54"/>
        <v>14204.4</v>
      </c>
      <c r="AI209" s="198">
        <f t="shared" si="48"/>
        <v>0</v>
      </c>
      <c r="AJ209" s="199">
        <f t="shared" si="55"/>
        <v>0</v>
      </c>
    </row>
    <row r="210" spans="1:38" ht="21.75" customHeight="1" x14ac:dyDescent="0.25">
      <c r="A210" s="185" t="s">
        <v>912</v>
      </c>
      <c r="B210" s="185" t="s">
        <v>776</v>
      </c>
      <c r="C210" s="185" t="s">
        <v>499</v>
      </c>
      <c r="D210" s="186" t="s">
        <v>508</v>
      </c>
      <c r="E210" s="185" t="s">
        <v>1101</v>
      </c>
      <c r="F210" s="187">
        <v>207</v>
      </c>
      <c r="G210" s="188" t="s">
        <v>902</v>
      </c>
      <c r="H210" s="189" t="s">
        <v>903</v>
      </c>
      <c r="I210" s="212" t="s">
        <v>1293</v>
      </c>
      <c r="J210" s="183"/>
      <c r="K210" s="183"/>
      <c r="L210" s="189" t="s">
        <v>534</v>
      </c>
      <c r="M210" s="183" t="s">
        <v>877</v>
      </c>
      <c r="N210" s="189" t="s">
        <v>507</v>
      </c>
      <c r="O210" s="190">
        <v>2.778</v>
      </c>
      <c r="P210" s="191">
        <v>36</v>
      </c>
      <c r="Q210" s="192">
        <v>100</v>
      </c>
      <c r="R210" s="193">
        <v>14204.4</v>
      </c>
      <c r="S210" s="195"/>
      <c r="T210" s="194">
        <v>1</v>
      </c>
      <c r="U210" s="193">
        <v>14204.4</v>
      </c>
      <c r="V210" s="196">
        <f t="shared" si="42"/>
        <v>44896</v>
      </c>
      <c r="W210" s="197">
        <f t="shared" si="49"/>
        <v>13</v>
      </c>
      <c r="X210" s="197"/>
      <c r="Y210" s="198">
        <f t="shared" si="43"/>
        <v>0</v>
      </c>
      <c r="Z210" s="199">
        <f t="shared" si="50"/>
        <v>0</v>
      </c>
      <c r="AA210" s="198">
        <f t="shared" si="44"/>
        <v>0</v>
      </c>
      <c r="AB210" s="199">
        <f t="shared" si="51"/>
        <v>0</v>
      </c>
      <c r="AC210" s="198">
        <f t="shared" si="45"/>
        <v>0</v>
      </c>
      <c r="AD210" s="199">
        <f t="shared" si="52"/>
        <v>0</v>
      </c>
      <c r="AE210" s="198">
        <f t="shared" si="46"/>
        <v>0</v>
      </c>
      <c r="AF210" s="199">
        <f t="shared" si="53"/>
        <v>0</v>
      </c>
      <c r="AG210" s="198">
        <f t="shared" si="47"/>
        <v>1</v>
      </c>
      <c r="AH210" s="199">
        <f t="shared" si="54"/>
        <v>14204.4</v>
      </c>
      <c r="AI210" s="198">
        <f t="shared" si="48"/>
        <v>0</v>
      </c>
      <c r="AJ210" s="199">
        <f t="shared" si="55"/>
        <v>0</v>
      </c>
    </row>
    <row r="211" spans="1:38" ht="21.75" customHeight="1" x14ac:dyDescent="0.25">
      <c r="A211" s="185" t="s">
        <v>912</v>
      </c>
      <c r="B211" s="185" t="s">
        <v>776</v>
      </c>
      <c r="C211" s="185" t="s">
        <v>499</v>
      </c>
      <c r="D211" s="186" t="s">
        <v>508</v>
      </c>
      <c r="E211" s="185" t="s">
        <v>1101</v>
      </c>
      <c r="F211" s="187">
        <v>208</v>
      </c>
      <c r="G211" s="188" t="s">
        <v>904</v>
      </c>
      <c r="H211" s="189" t="s">
        <v>905</v>
      </c>
      <c r="I211" s="212" t="s">
        <v>1293</v>
      </c>
      <c r="J211" s="183"/>
      <c r="K211" s="183"/>
      <c r="L211" s="189" t="s">
        <v>534</v>
      </c>
      <c r="M211" s="183" t="s">
        <v>906</v>
      </c>
      <c r="N211" s="189" t="s">
        <v>507</v>
      </c>
      <c r="O211" s="190">
        <v>8.3330000000000002</v>
      </c>
      <c r="P211" s="191">
        <v>12</v>
      </c>
      <c r="Q211" s="192">
        <v>100</v>
      </c>
      <c r="R211" s="193">
        <v>18763.93</v>
      </c>
      <c r="S211" s="195"/>
      <c r="T211" s="194">
        <v>1</v>
      </c>
      <c r="U211" s="193">
        <v>18763.93</v>
      </c>
      <c r="V211" s="196" t="str">
        <f t="shared" si="42"/>
        <v/>
      </c>
      <c r="W211" s="197">
        <f t="shared" si="49"/>
        <v>0</v>
      </c>
      <c r="X211" s="197"/>
      <c r="Y211" s="198">
        <f t="shared" si="43"/>
        <v>0</v>
      </c>
      <c r="Z211" s="199">
        <f t="shared" si="50"/>
        <v>0</v>
      </c>
      <c r="AA211" s="198">
        <f t="shared" si="44"/>
        <v>0</v>
      </c>
      <c r="AB211" s="199">
        <f t="shared" si="51"/>
        <v>0</v>
      </c>
      <c r="AC211" s="198">
        <f t="shared" si="45"/>
        <v>0</v>
      </c>
      <c r="AD211" s="199">
        <f t="shared" si="52"/>
        <v>0</v>
      </c>
      <c r="AE211" s="198">
        <f t="shared" si="46"/>
        <v>0</v>
      </c>
      <c r="AF211" s="199">
        <f t="shared" si="53"/>
        <v>0</v>
      </c>
      <c r="AG211" s="198">
        <f t="shared" si="47"/>
        <v>0</v>
      </c>
      <c r="AH211" s="199">
        <f t="shared" si="54"/>
        <v>0</v>
      </c>
      <c r="AI211" s="198">
        <f t="shared" si="48"/>
        <v>1</v>
      </c>
      <c r="AJ211" s="199">
        <f t="shared" si="55"/>
        <v>18763.93</v>
      </c>
    </row>
    <row r="212" spans="1:38" ht="21.75" customHeight="1" x14ac:dyDescent="0.25">
      <c r="A212" s="185" t="s">
        <v>912</v>
      </c>
      <c r="B212" s="185" t="s">
        <v>776</v>
      </c>
      <c r="C212" s="185" t="s">
        <v>499</v>
      </c>
      <c r="D212" s="186" t="s">
        <v>508</v>
      </c>
      <c r="E212" s="185" t="s">
        <v>1101</v>
      </c>
      <c r="F212" s="187">
        <v>209</v>
      </c>
      <c r="G212" s="188" t="s">
        <v>907</v>
      </c>
      <c r="H212" s="189" t="s">
        <v>908</v>
      </c>
      <c r="I212" s="212" t="s">
        <v>1293</v>
      </c>
      <c r="J212" s="183"/>
      <c r="K212" s="183"/>
      <c r="L212" s="189" t="s">
        <v>534</v>
      </c>
      <c r="M212" s="183" t="s">
        <v>906</v>
      </c>
      <c r="N212" s="189" t="s">
        <v>507</v>
      </c>
      <c r="O212" s="190">
        <v>8.3330000000000002</v>
      </c>
      <c r="P212" s="191">
        <v>12</v>
      </c>
      <c r="Q212" s="192">
        <v>100</v>
      </c>
      <c r="R212" s="193">
        <v>10898.84</v>
      </c>
      <c r="S212" s="195"/>
      <c r="T212" s="194">
        <v>1</v>
      </c>
      <c r="U212" s="193">
        <v>10898.84</v>
      </c>
      <c r="V212" s="196" t="str">
        <f t="shared" si="42"/>
        <v/>
      </c>
      <c r="W212" s="197">
        <f t="shared" si="49"/>
        <v>0</v>
      </c>
      <c r="X212" s="197"/>
      <c r="Y212" s="198">
        <f t="shared" si="43"/>
        <v>0</v>
      </c>
      <c r="Z212" s="199">
        <f t="shared" si="50"/>
        <v>0</v>
      </c>
      <c r="AA212" s="198">
        <f t="shared" si="44"/>
        <v>0</v>
      </c>
      <c r="AB212" s="199">
        <f t="shared" si="51"/>
        <v>0</v>
      </c>
      <c r="AC212" s="198">
        <f t="shared" si="45"/>
        <v>0</v>
      </c>
      <c r="AD212" s="199">
        <f t="shared" si="52"/>
        <v>0</v>
      </c>
      <c r="AE212" s="198">
        <f t="shared" si="46"/>
        <v>0</v>
      </c>
      <c r="AF212" s="199">
        <f t="shared" si="53"/>
        <v>0</v>
      </c>
      <c r="AG212" s="198">
        <f t="shared" si="47"/>
        <v>0</v>
      </c>
      <c r="AH212" s="199">
        <f t="shared" si="54"/>
        <v>0</v>
      </c>
      <c r="AI212" s="198">
        <f t="shared" si="48"/>
        <v>1</v>
      </c>
      <c r="AJ212" s="199">
        <f t="shared" si="55"/>
        <v>10898.84</v>
      </c>
    </row>
    <row r="213" spans="1:38" ht="21.75" customHeight="1" x14ac:dyDescent="0.25">
      <c r="A213" s="185" t="s">
        <v>912</v>
      </c>
      <c r="B213" s="185" t="s">
        <v>776</v>
      </c>
      <c r="C213" s="185" t="s">
        <v>499</v>
      </c>
      <c r="D213" s="186" t="s">
        <v>508</v>
      </c>
      <c r="E213" s="185" t="s">
        <v>1101</v>
      </c>
      <c r="F213" s="187">
        <v>210</v>
      </c>
      <c r="G213" s="188" t="s">
        <v>1126</v>
      </c>
      <c r="H213" s="189" t="s">
        <v>1127</v>
      </c>
      <c r="I213" s="212" t="s">
        <v>1293</v>
      </c>
      <c r="J213" s="183"/>
      <c r="K213" s="183"/>
      <c r="L213" s="189" t="s">
        <v>534</v>
      </c>
      <c r="M213" s="183" t="s">
        <v>1128</v>
      </c>
      <c r="N213" s="189" t="s">
        <v>507</v>
      </c>
      <c r="O213" s="202" t="s">
        <v>554</v>
      </c>
      <c r="P213" s="203"/>
      <c r="Q213" s="192">
        <v>100</v>
      </c>
      <c r="R213" s="193">
        <v>35500</v>
      </c>
      <c r="S213" s="195"/>
      <c r="T213" s="194">
        <v>1</v>
      </c>
      <c r="U213" s="193">
        <v>35500</v>
      </c>
      <c r="V213" s="196">
        <f t="shared" si="42"/>
        <v>45108</v>
      </c>
      <c r="W213" s="197">
        <f t="shared" si="49"/>
        <v>6</v>
      </c>
      <c r="X213" s="197"/>
      <c r="Y213" s="198">
        <f t="shared" si="43"/>
        <v>0</v>
      </c>
      <c r="Z213" s="199">
        <f t="shared" si="50"/>
        <v>0</v>
      </c>
      <c r="AA213" s="198">
        <f t="shared" si="44"/>
        <v>0</v>
      </c>
      <c r="AB213" s="199">
        <f t="shared" si="51"/>
        <v>0</v>
      </c>
      <c r="AC213" s="198">
        <f t="shared" si="45"/>
        <v>0</v>
      </c>
      <c r="AD213" s="199">
        <f t="shared" si="52"/>
        <v>0</v>
      </c>
      <c r="AE213" s="198">
        <f t="shared" si="46"/>
        <v>0</v>
      </c>
      <c r="AF213" s="199">
        <f t="shared" si="53"/>
        <v>0</v>
      </c>
      <c r="AG213" s="198">
        <f t="shared" si="47"/>
        <v>0</v>
      </c>
      <c r="AH213" s="199">
        <f t="shared" si="54"/>
        <v>0</v>
      </c>
      <c r="AI213" s="198">
        <f t="shared" si="48"/>
        <v>1</v>
      </c>
      <c r="AJ213" s="199">
        <f t="shared" si="55"/>
        <v>35500</v>
      </c>
    </row>
    <row r="214" spans="1:38" ht="21.75" customHeight="1" x14ac:dyDescent="0.25">
      <c r="A214" s="185" t="s">
        <v>912</v>
      </c>
      <c r="B214" s="185" t="s">
        <v>776</v>
      </c>
      <c r="C214" s="185" t="s">
        <v>499</v>
      </c>
      <c r="D214" s="186" t="s">
        <v>508</v>
      </c>
      <c r="E214" s="185" t="s">
        <v>1101</v>
      </c>
      <c r="F214" s="187">
        <v>211</v>
      </c>
      <c r="G214" s="188" t="s">
        <v>1126</v>
      </c>
      <c r="H214" s="189" t="s">
        <v>1129</v>
      </c>
      <c r="I214" s="212" t="s">
        <v>1293</v>
      </c>
      <c r="J214" s="183"/>
      <c r="K214" s="183"/>
      <c r="L214" s="189" t="s">
        <v>534</v>
      </c>
      <c r="M214" s="183" t="s">
        <v>1128</v>
      </c>
      <c r="N214" s="189" t="s">
        <v>507</v>
      </c>
      <c r="O214" s="202" t="s">
        <v>554</v>
      </c>
      <c r="P214" s="203"/>
      <c r="Q214" s="192">
        <v>100</v>
      </c>
      <c r="R214" s="193">
        <v>35500</v>
      </c>
      <c r="S214" s="195"/>
      <c r="T214" s="194">
        <v>1</v>
      </c>
      <c r="U214" s="193">
        <v>35500</v>
      </c>
      <c r="V214" s="196">
        <f t="shared" si="42"/>
        <v>45108</v>
      </c>
      <c r="W214" s="197">
        <f t="shared" si="49"/>
        <v>6</v>
      </c>
      <c r="X214" s="197"/>
      <c r="Y214" s="198">
        <f t="shared" si="43"/>
        <v>0</v>
      </c>
      <c r="Z214" s="199">
        <f t="shared" si="50"/>
        <v>0</v>
      </c>
      <c r="AA214" s="198">
        <f t="shared" si="44"/>
        <v>0</v>
      </c>
      <c r="AB214" s="199">
        <f t="shared" si="51"/>
        <v>0</v>
      </c>
      <c r="AC214" s="198">
        <f t="shared" si="45"/>
        <v>0</v>
      </c>
      <c r="AD214" s="199">
        <f t="shared" si="52"/>
        <v>0</v>
      </c>
      <c r="AE214" s="198">
        <f t="shared" si="46"/>
        <v>0</v>
      </c>
      <c r="AF214" s="199">
        <f t="shared" si="53"/>
        <v>0</v>
      </c>
      <c r="AG214" s="198">
        <f t="shared" si="47"/>
        <v>0</v>
      </c>
      <c r="AH214" s="199">
        <f t="shared" si="54"/>
        <v>0</v>
      </c>
      <c r="AI214" s="198">
        <f t="shared" si="48"/>
        <v>1</v>
      </c>
      <c r="AJ214" s="199">
        <f t="shared" si="55"/>
        <v>35500</v>
      </c>
    </row>
    <row r="215" spans="1:38" ht="21.75" customHeight="1" x14ac:dyDescent="0.25">
      <c r="A215" s="185" t="s">
        <v>912</v>
      </c>
      <c r="B215" s="185" t="s">
        <v>776</v>
      </c>
      <c r="C215" s="185" t="s">
        <v>499</v>
      </c>
      <c r="D215" s="186" t="s">
        <v>508</v>
      </c>
      <c r="E215" s="185" t="s">
        <v>1101</v>
      </c>
      <c r="F215" s="187">
        <v>212</v>
      </c>
      <c r="G215" s="188" t="s">
        <v>1126</v>
      </c>
      <c r="H215" s="189" t="s">
        <v>1130</v>
      </c>
      <c r="I215" s="212" t="s">
        <v>1293</v>
      </c>
      <c r="J215" s="183"/>
      <c r="K215" s="183"/>
      <c r="L215" s="189" t="s">
        <v>534</v>
      </c>
      <c r="M215" s="183" t="s">
        <v>1128</v>
      </c>
      <c r="N215" s="189" t="s">
        <v>507</v>
      </c>
      <c r="O215" s="202" t="s">
        <v>554</v>
      </c>
      <c r="P215" s="203"/>
      <c r="Q215" s="192">
        <v>100</v>
      </c>
      <c r="R215" s="193">
        <v>35500</v>
      </c>
      <c r="S215" s="195"/>
      <c r="T215" s="194">
        <v>1</v>
      </c>
      <c r="U215" s="193">
        <v>35500</v>
      </c>
      <c r="V215" s="196">
        <f t="shared" si="42"/>
        <v>45108</v>
      </c>
      <c r="W215" s="197">
        <f t="shared" si="49"/>
        <v>6</v>
      </c>
      <c r="X215" s="197"/>
      <c r="Y215" s="198">
        <f t="shared" si="43"/>
        <v>0</v>
      </c>
      <c r="Z215" s="199">
        <f t="shared" si="50"/>
        <v>0</v>
      </c>
      <c r="AA215" s="198">
        <f t="shared" si="44"/>
        <v>0</v>
      </c>
      <c r="AB215" s="199">
        <f t="shared" si="51"/>
        <v>0</v>
      </c>
      <c r="AC215" s="198">
        <f t="shared" si="45"/>
        <v>0</v>
      </c>
      <c r="AD215" s="199">
        <f t="shared" si="52"/>
        <v>0</v>
      </c>
      <c r="AE215" s="198">
        <f t="shared" si="46"/>
        <v>0</v>
      </c>
      <c r="AF215" s="199">
        <f t="shared" si="53"/>
        <v>0</v>
      </c>
      <c r="AG215" s="198">
        <f t="shared" si="47"/>
        <v>0</v>
      </c>
      <c r="AH215" s="199">
        <f t="shared" si="54"/>
        <v>0</v>
      </c>
      <c r="AI215" s="198">
        <f t="shared" si="48"/>
        <v>1</v>
      </c>
      <c r="AJ215" s="199">
        <f t="shared" si="55"/>
        <v>35500</v>
      </c>
    </row>
    <row r="216" spans="1:38" ht="21.75" customHeight="1" x14ac:dyDescent="0.25">
      <c r="A216" s="185" t="s">
        <v>912</v>
      </c>
      <c r="B216" s="185" t="s">
        <v>776</v>
      </c>
      <c r="C216" s="185" t="s">
        <v>499</v>
      </c>
      <c r="D216" s="186" t="s">
        <v>508</v>
      </c>
      <c r="E216" s="185" t="s">
        <v>1101</v>
      </c>
      <c r="F216" s="187">
        <v>213</v>
      </c>
      <c r="G216" s="188" t="s">
        <v>1126</v>
      </c>
      <c r="H216" s="189" t="s">
        <v>1131</v>
      </c>
      <c r="I216" s="212" t="s">
        <v>1293</v>
      </c>
      <c r="J216" s="183"/>
      <c r="K216" s="183"/>
      <c r="L216" s="189" t="s">
        <v>534</v>
      </c>
      <c r="M216" s="183" t="s">
        <v>1128</v>
      </c>
      <c r="N216" s="189" t="s">
        <v>507</v>
      </c>
      <c r="O216" s="202" t="s">
        <v>554</v>
      </c>
      <c r="P216" s="203"/>
      <c r="Q216" s="192">
        <v>100</v>
      </c>
      <c r="R216" s="193">
        <v>35500</v>
      </c>
      <c r="S216" s="195"/>
      <c r="T216" s="194">
        <v>1</v>
      </c>
      <c r="U216" s="193">
        <v>35500</v>
      </c>
      <c r="V216" s="196">
        <f t="shared" si="42"/>
        <v>45108</v>
      </c>
      <c r="W216" s="197">
        <f t="shared" si="49"/>
        <v>6</v>
      </c>
      <c r="X216" s="197"/>
      <c r="Y216" s="198">
        <f t="shared" si="43"/>
        <v>0</v>
      </c>
      <c r="Z216" s="199">
        <f t="shared" si="50"/>
        <v>0</v>
      </c>
      <c r="AA216" s="198">
        <f t="shared" si="44"/>
        <v>0</v>
      </c>
      <c r="AB216" s="199">
        <f t="shared" si="51"/>
        <v>0</v>
      </c>
      <c r="AC216" s="198">
        <f t="shared" si="45"/>
        <v>0</v>
      </c>
      <c r="AD216" s="199">
        <f t="shared" si="52"/>
        <v>0</v>
      </c>
      <c r="AE216" s="198">
        <f t="shared" si="46"/>
        <v>0</v>
      </c>
      <c r="AF216" s="199">
        <f t="shared" si="53"/>
        <v>0</v>
      </c>
      <c r="AG216" s="198">
        <f t="shared" si="47"/>
        <v>0</v>
      </c>
      <c r="AH216" s="199">
        <f t="shared" si="54"/>
        <v>0</v>
      </c>
      <c r="AI216" s="198">
        <f t="shared" si="48"/>
        <v>1</v>
      </c>
      <c r="AJ216" s="199">
        <f t="shared" si="55"/>
        <v>35500</v>
      </c>
    </row>
    <row r="217" spans="1:38" ht="21.75" customHeight="1" x14ac:dyDescent="0.25">
      <c r="A217" s="185" t="s">
        <v>912</v>
      </c>
      <c r="B217" s="185" t="s">
        <v>776</v>
      </c>
      <c r="C217" s="185" t="s">
        <v>499</v>
      </c>
      <c r="D217" s="186" t="s">
        <v>508</v>
      </c>
      <c r="E217" s="185" t="s">
        <v>1101</v>
      </c>
      <c r="F217" s="187">
        <v>214</v>
      </c>
      <c r="G217" s="188" t="s">
        <v>1126</v>
      </c>
      <c r="H217" s="189" t="s">
        <v>1132</v>
      </c>
      <c r="I217" s="212" t="s">
        <v>1293</v>
      </c>
      <c r="J217" s="183"/>
      <c r="K217" s="183"/>
      <c r="L217" s="189" t="s">
        <v>534</v>
      </c>
      <c r="M217" s="183" t="s">
        <v>1128</v>
      </c>
      <c r="N217" s="189" t="s">
        <v>507</v>
      </c>
      <c r="O217" s="202" t="s">
        <v>554</v>
      </c>
      <c r="P217" s="203"/>
      <c r="Q217" s="192">
        <v>100</v>
      </c>
      <c r="R217" s="193">
        <v>35500</v>
      </c>
      <c r="S217" s="195"/>
      <c r="T217" s="194">
        <v>1</v>
      </c>
      <c r="U217" s="193">
        <v>35500</v>
      </c>
      <c r="V217" s="196">
        <f t="shared" si="42"/>
        <v>45108</v>
      </c>
      <c r="W217" s="197">
        <f t="shared" si="49"/>
        <v>6</v>
      </c>
      <c r="X217" s="197"/>
      <c r="Y217" s="198">
        <f t="shared" si="43"/>
        <v>0</v>
      </c>
      <c r="Z217" s="199">
        <f t="shared" si="50"/>
        <v>0</v>
      </c>
      <c r="AA217" s="198">
        <f t="shared" si="44"/>
        <v>0</v>
      </c>
      <c r="AB217" s="199">
        <f t="shared" si="51"/>
        <v>0</v>
      </c>
      <c r="AC217" s="198">
        <f t="shared" si="45"/>
        <v>0</v>
      </c>
      <c r="AD217" s="199">
        <f t="shared" si="52"/>
        <v>0</v>
      </c>
      <c r="AE217" s="198">
        <f t="shared" si="46"/>
        <v>0</v>
      </c>
      <c r="AF217" s="199">
        <f t="shared" si="53"/>
        <v>0</v>
      </c>
      <c r="AG217" s="198">
        <f t="shared" si="47"/>
        <v>0</v>
      </c>
      <c r="AH217" s="199">
        <f t="shared" si="54"/>
        <v>0</v>
      </c>
      <c r="AI217" s="198">
        <f t="shared" si="48"/>
        <v>1</v>
      </c>
      <c r="AJ217" s="199">
        <f t="shared" si="55"/>
        <v>35500</v>
      </c>
    </row>
    <row r="218" spans="1:38" ht="21.75" customHeight="1" x14ac:dyDescent="0.25">
      <c r="A218" s="185" t="s">
        <v>912</v>
      </c>
      <c r="B218" s="185" t="s">
        <v>776</v>
      </c>
      <c r="C218" s="185" t="s">
        <v>499</v>
      </c>
      <c r="D218" s="186" t="s">
        <v>508</v>
      </c>
      <c r="E218" s="185" t="s">
        <v>1101</v>
      </c>
      <c r="F218" s="187">
        <v>215</v>
      </c>
      <c r="G218" s="188" t="s">
        <v>1126</v>
      </c>
      <c r="H218" s="189" t="s">
        <v>1133</v>
      </c>
      <c r="I218" s="212" t="s">
        <v>1293</v>
      </c>
      <c r="J218" s="183"/>
      <c r="K218" s="183"/>
      <c r="L218" s="189" t="s">
        <v>534</v>
      </c>
      <c r="M218" s="183" t="s">
        <v>1128</v>
      </c>
      <c r="N218" s="189" t="s">
        <v>507</v>
      </c>
      <c r="O218" s="202" t="s">
        <v>554</v>
      </c>
      <c r="P218" s="203"/>
      <c r="Q218" s="192">
        <v>100</v>
      </c>
      <c r="R218" s="193">
        <v>35500</v>
      </c>
      <c r="S218" s="195"/>
      <c r="T218" s="194">
        <v>1</v>
      </c>
      <c r="U218" s="193">
        <v>35500</v>
      </c>
      <c r="V218" s="196">
        <f t="shared" si="42"/>
        <v>45108</v>
      </c>
      <c r="W218" s="197">
        <f t="shared" si="49"/>
        <v>6</v>
      </c>
      <c r="X218" s="197"/>
      <c r="Y218" s="198">
        <f t="shared" si="43"/>
        <v>0</v>
      </c>
      <c r="Z218" s="199">
        <f t="shared" si="50"/>
        <v>0</v>
      </c>
      <c r="AA218" s="198">
        <f t="shared" si="44"/>
        <v>0</v>
      </c>
      <c r="AB218" s="199">
        <f t="shared" si="51"/>
        <v>0</v>
      </c>
      <c r="AC218" s="198">
        <f t="shared" si="45"/>
        <v>0</v>
      </c>
      <c r="AD218" s="199">
        <f t="shared" si="52"/>
        <v>0</v>
      </c>
      <c r="AE218" s="198">
        <f t="shared" si="46"/>
        <v>0</v>
      </c>
      <c r="AF218" s="199">
        <f t="shared" si="53"/>
        <v>0</v>
      </c>
      <c r="AG218" s="198">
        <f t="shared" si="47"/>
        <v>0</v>
      </c>
      <c r="AH218" s="199">
        <f t="shared" si="54"/>
        <v>0</v>
      </c>
      <c r="AI218" s="198">
        <f t="shared" si="48"/>
        <v>1</v>
      </c>
      <c r="AJ218" s="199">
        <f t="shared" si="55"/>
        <v>35500</v>
      </c>
    </row>
    <row r="219" spans="1:38" ht="21.75" customHeight="1" x14ac:dyDescent="0.25">
      <c r="A219" s="185" t="s">
        <v>912</v>
      </c>
      <c r="B219" s="185" t="s">
        <v>776</v>
      </c>
      <c r="C219" s="185" t="s">
        <v>499</v>
      </c>
      <c r="D219" s="186" t="s">
        <v>508</v>
      </c>
      <c r="E219" s="185" t="s">
        <v>1101</v>
      </c>
      <c r="F219" s="187">
        <v>216</v>
      </c>
      <c r="G219" s="188" t="s">
        <v>1126</v>
      </c>
      <c r="H219" s="189" t="s">
        <v>1134</v>
      </c>
      <c r="I219" s="212" t="s">
        <v>1293</v>
      </c>
      <c r="J219" s="183"/>
      <c r="K219" s="183"/>
      <c r="L219" s="189" t="s">
        <v>534</v>
      </c>
      <c r="M219" s="183" t="s">
        <v>1128</v>
      </c>
      <c r="N219" s="189" t="s">
        <v>507</v>
      </c>
      <c r="O219" s="202" t="s">
        <v>554</v>
      </c>
      <c r="P219" s="203"/>
      <c r="Q219" s="192">
        <v>100</v>
      </c>
      <c r="R219" s="193">
        <v>35500</v>
      </c>
      <c r="S219" s="195"/>
      <c r="T219" s="194">
        <v>1</v>
      </c>
      <c r="U219" s="193">
        <v>35500</v>
      </c>
      <c r="V219" s="196">
        <f t="shared" si="42"/>
        <v>45108</v>
      </c>
      <c r="W219" s="197">
        <f t="shared" si="49"/>
        <v>6</v>
      </c>
      <c r="X219" s="197"/>
      <c r="Y219" s="198">
        <f t="shared" si="43"/>
        <v>0</v>
      </c>
      <c r="Z219" s="199">
        <f t="shared" si="50"/>
        <v>0</v>
      </c>
      <c r="AA219" s="198">
        <f t="shared" si="44"/>
        <v>0</v>
      </c>
      <c r="AB219" s="199">
        <f t="shared" si="51"/>
        <v>0</v>
      </c>
      <c r="AC219" s="198">
        <f t="shared" si="45"/>
        <v>0</v>
      </c>
      <c r="AD219" s="199">
        <f t="shared" si="52"/>
        <v>0</v>
      </c>
      <c r="AE219" s="198">
        <f t="shared" si="46"/>
        <v>0</v>
      </c>
      <c r="AF219" s="199">
        <f t="shared" si="53"/>
        <v>0</v>
      </c>
      <c r="AG219" s="198">
        <f t="shared" si="47"/>
        <v>0</v>
      </c>
      <c r="AH219" s="199">
        <f t="shared" si="54"/>
        <v>0</v>
      </c>
      <c r="AI219" s="198">
        <f t="shared" si="48"/>
        <v>1</v>
      </c>
      <c r="AJ219" s="199">
        <f t="shared" si="55"/>
        <v>35500</v>
      </c>
    </row>
    <row r="220" spans="1:38" ht="21.75" customHeight="1" x14ac:dyDescent="0.25">
      <c r="A220" s="185" t="s">
        <v>912</v>
      </c>
      <c r="B220" s="185" t="s">
        <v>776</v>
      </c>
      <c r="C220" s="185" t="s">
        <v>499</v>
      </c>
      <c r="D220" s="186" t="s">
        <v>508</v>
      </c>
      <c r="E220" s="185" t="s">
        <v>1101</v>
      </c>
      <c r="F220" s="187">
        <v>217</v>
      </c>
      <c r="G220" s="188" t="s">
        <v>1126</v>
      </c>
      <c r="H220" s="189" t="s">
        <v>1135</v>
      </c>
      <c r="I220" s="212" t="s">
        <v>1293</v>
      </c>
      <c r="J220" s="183"/>
      <c r="K220" s="183"/>
      <c r="L220" s="189" t="s">
        <v>534</v>
      </c>
      <c r="M220" s="183" t="s">
        <v>1128</v>
      </c>
      <c r="N220" s="189" t="s">
        <v>507</v>
      </c>
      <c r="O220" s="202" t="s">
        <v>554</v>
      </c>
      <c r="P220" s="203"/>
      <c r="Q220" s="192">
        <v>100</v>
      </c>
      <c r="R220" s="193">
        <v>35500</v>
      </c>
      <c r="S220" s="195"/>
      <c r="T220" s="194">
        <v>1</v>
      </c>
      <c r="U220" s="193">
        <v>35500</v>
      </c>
      <c r="V220" s="196">
        <f t="shared" si="42"/>
        <v>45108</v>
      </c>
      <c r="W220" s="197">
        <f t="shared" si="49"/>
        <v>6</v>
      </c>
      <c r="X220" s="197"/>
      <c r="Y220" s="198">
        <f t="shared" si="43"/>
        <v>0</v>
      </c>
      <c r="Z220" s="199">
        <f t="shared" si="50"/>
        <v>0</v>
      </c>
      <c r="AA220" s="198">
        <f t="shared" si="44"/>
        <v>0</v>
      </c>
      <c r="AB220" s="199">
        <f t="shared" si="51"/>
        <v>0</v>
      </c>
      <c r="AC220" s="198">
        <f t="shared" si="45"/>
        <v>0</v>
      </c>
      <c r="AD220" s="199">
        <f t="shared" si="52"/>
        <v>0</v>
      </c>
      <c r="AE220" s="198">
        <f t="shared" si="46"/>
        <v>0</v>
      </c>
      <c r="AF220" s="199">
        <f t="shared" si="53"/>
        <v>0</v>
      </c>
      <c r="AG220" s="198">
        <f t="shared" si="47"/>
        <v>0</v>
      </c>
      <c r="AH220" s="199">
        <f t="shared" si="54"/>
        <v>0</v>
      </c>
      <c r="AI220" s="198">
        <f t="shared" si="48"/>
        <v>1</v>
      </c>
      <c r="AJ220" s="199">
        <f t="shared" si="55"/>
        <v>35500</v>
      </c>
    </row>
    <row r="221" spans="1:38" ht="21.75" customHeight="1" x14ac:dyDescent="0.25">
      <c r="A221" s="185" t="s">
        <v>912</v>
      </c>
      <c r="B221" s="185" t="s">
        <v>776</v>
      </c>
      <c r="C221" s="185" t="s">
        <v>499</v>
      </c>
      <c r="D221" s="186" t="s">
        <v>508</v>
      </c>
      <c r="E221" s="185" t="s">
        <v>1101</v>
      </c>
      <c r="F221" s="187">
        <v>218</v>
      </c>
      <c r="G221" s="188" t="s">
        <v>1126</v>
      </c>
      <c r="H221" s="189" t="s">
        <v>1136</v>
      </c>
      <c r="I221" s="212" t="s">
        <v>1293</v>
      </c>
      <c r="J221" s="183"/>
      <c r="K221" s="183"/>
      <c r="L221" s="189" t="s">
        <v>534</v>
      </c>
      <c r="M221" s="183" t="s">
        <v>1128</v>
      </c>
      <c r="N221" s="189" t="s">
        <v>507</v>
      </c>
      <c r="O221" s="202" t="s">
        <v>554</v>
      </c>
      <c r="P221" s="203"/>
      <c r="Q221" s="192">
        <v>100</v>
      </c>
      <c r="R221" s="193">
        <v>35500</v>
      </c>
      <c r="S221" s="195"/>
      <c r="T221" s="194">
        <v>1</v>
      </c>
      <c r="U221" s="193">
        <v>35500</v>
      </c>
      <c r="V221" s="196">
        <f t="shared" si="42"/>
        <v>45108</v>
      </c>
      <c r="W221" s="197">
        <f t="shared" si="49"/>
        <v>6</v>
      </c>
      <c r="X221" s="197"/>
      <c r="Y221" s="198">
        <f t="shared" si="43"/>
        <v>0</v>
      </c>
      <c r="Z221" s="199">
        <f t="shared" si="50"/>
        <v>0</v>
      </c>
      <c r="AA221" s="198">
        <f t="shared" si="44"/>
        <v>0</v>
      </c>
      <c r="AB221" s="199">
        <f t="shared" si="51"/>
        <v>0</v>
      </c>
      <c r="AC221" s="198">
        <f t="shared" si="45"/>
        <v>0</v>
      </c>
      <c r="AD221" s="199">
        <f t="shared" si="52"/>
        <v>0</v>
      </c>
      <c r="AE221" s="198">
        <f t="shared" si="46"/>
        <v>0</v>
      </c>
      <c r="AF221" s="199">
        <f t="shared" si="53"/>
        <v>0</v>
      </c>
      <c r="AG221" s="198">
        <f t="shared" si="47"/>
        <v>0</v>
      </c>
      <c r="AH221" s="199">
        <f t="shared" si="54"/>
        <v>0</v>
      </c>
      <c r="AI221" s="198">
        <f t="shared" si="48"/>
        <v>1</v>
      </c>
      <c r="AJ221" s="199">
        <f t="shared" si="55"/>
        <v>35500</v>
      </c>
    </row>
    <row r="222" spans="1:38" ht="21.75" customHeight="1" x14ac:dyDescent="0.25">
      <c r="A222" s="185" t="s">
        <v>912</v>
      </c>
      <c r="B222" s="185" t="s">
        <v>776</v>
      </c>
      <c r="C222" s="185" t="s">
        <v>499</v>
      </c>
      <c r="D222" s="186" t="s">
        <v>508</v>
      </c>
      <c r="E222" s="185" t="s">
        <v>1101</v>
      </c>
      <c r="F222" s="187">
        <v>219</v>
      </c>
      <c r="G222" s="188" t="s">
        <v>1126</v>
      </c>
      <c r="H222" s="189" t="s">
        <v>1137</v>
      </c>
      <c r="I222" s="212" t="s">
        <v>1293</v>
      </c>
      <c r="J222" s="183"/>
      <c r="K222" s="183"/>
      <c r="L222" s="189" t="s">
        <v>534</v>
      </c>
      <c r="M222" s="183" t="s">
        <v>1128</v>
      </c>
      <c r="N222" s="189" t="s">
        <v>507</v>
      </c>
      <c r="O222" s="202" t="s">
        <v>554</v>
      </c>
      <c r="P222" s="203"/>
      <c r="Q222" s="192">
        <v>100</v>
      </c>
      <c r="R222" s="193">
        <v>35500</v>
      </c>
      <c r="S222" s="195"/>
      <c r="T222" s="194">
        <v>1</v>
      </c>
      <c r="U222" s="193">
        <v>35500</v>
      </c>
      <c r="V222" s="196">
        <f t="shared" si="42"/>
        <v>45108</v>
      </c>
      <c r="W222" s="197">
        <f t="shared" si="49"/>
        <v>6</v>
      </c>
      <c r="X222" s="197"/>
      <c r="Y222" s="198">
        <f t="shared" si="43"/>
        <v>0</v>
      </c>
      <c r="Z222" s="199">
        <f t="shared" si="50"/>
        <v>0</v>
      </c>
      <c r="AA222" s="198">
        <f t="shared" si="44"/>
        <v>0</v>
      </c>
      <c r="AB222" s="199">
        <f t="shared" si="51"/>
        <v>0</v>
      </c>
      <c r="AC222" s="198">
        <f t="shared" si="45"/>
        <v>0</v>
      </c>
      <c r="AD222" s="199">
        <f t="shared" si="52"/>
        <v>0</v>
      </c>
      <c r="AE222" s="198">
        <f t="shared" si="46"/>
        <v>0</v>
      </c>
      <c r="AF222" s="199">
        <f t="shared" si="53"/>
        <v>0</v>
      </c>
      <c r="AG222" s="198">
        <f t="shared" si="47"/>
        <v>0</v>
      </c>
      <c r="AH222" s="199">
        <f t="shared" si="54"/>
        <v>0</v>
      </c>
      <c r="AI222" s="198">
        <f t="shared" si="48"/>
        <v>1</v>
      </c>
      <c r="AJ222" s="199">
        <f t="shared" si="55"/>
        <v>35500</v>
      </c>
    </row>
    <row r="223" spans="1:38" ht="21.75" customHeight="1" x14ac:dyDescent="0.25">
      <c r="A223" s="185" t="s">
        <v>912</v>
      </c>
      <c r="B223" s="185" t="s">
        <v>776</v>
      </c>
      <c r="C223" s="185" t="s">
        <v>499</v>
      </c>
      <c r="D223" s="186" t="s">
        <v>508</v>
      </c>
      <c r="E223" s="185" t="s">
        <v>509</v>
      </c>
      <c r="F223" s="187">
        <v>220</v>
      </c>
      <c r="G223" s="188" t="s">
        <v>875</v>
      </c>
      <c r="H223" s="189" t="s">
        <v>876</v>
      </c>
      <c r="I223" s="212" t="s">
        <v>946</v>
      </c>
      <c r="J223" s="183"/>
      <c r="K223" s="183"/>
      <c r="L223" s="189" t="s">
        <v>534</v>
      </c>
      <c r="M223" s="183" t="s">
        <v>877</v>
      </c>
      <c r="N223" s="189" t="s">
        <v>507</v>
      </c>
      <c r="O223" s="190">
        <v>2.778</v>
      </c>
      <c r="P223" s="191">
        <v>36</v>
      </c>
      <c r="Q223" s="192">
        <v>100</v>
      </c>
      <c r="R223" s="193">
        <v>10738.8</v>
      </c>
      <c r="S223" s="195"/>
      <c r="T223" s="194">
        <v>1</v>
      </c>
      <c r="U223" s="193">
        <v>10738.8</v>
      </c>
      <c r="V223" s="196">
        <f t="shared" si="42"/>
        <v>44896</v>
      </c>
      <c r="W223" s="197">
        <f t="shared" si="49"/>
        <v>13</v>
      </c>
      <c r="X223" s="197"/>
      <c r="Y223" s="198">
        <f t="shared" si="43"/>
        <v>0</v>
      </c>
      <c r="Z223" s="199">
        <f t="shared" si="50"/>
        <v>0</v>
      </c>
      <c r="AA223" s="198">
        <f t="shared" si="44"/>
        <v>0</v>
      </c>
      <c r="AB223" s="199">
        <f t="shared" si="51"/>
        <v>0</v>
      </c>
      <c r="AC223" s="198">
        <f t="shared" si="45"/>
        <v>0</v>
      </c>
      <c r="AD223" s="199">
        <f t="shared" si="52"/>
        <v>0</v>
      </c>
      <c r="AE223" s="198">
        <f t="shared" si="46"/>
        <v>0</v>
      </c>
      <c r="AF223" s="199">
        <f t="shared" si="53"/>
        <v>0</v>
      </c>
      <c r="AG223" s="198">
        <f t="shared" si="47"/>
        <v>1</v>
      </c>
      <c r="AH223" s="199">
        <f t="shared" si="54"/>
        <v>10738.8</v>
      </c>
      <c r="AI223" s="198">
        <f t="shared" si="48"/>
        <v>0</v>
      </c>
      <c r="AJ223" s="199">
        <f t="shared" si="55"/>
        <v>0</v>
      </c>
    </row>
    <row r="224" spans="1:38" s="9" customFormat="1" x14ac:dyDescent="0.25">
      <c r="D224" s="10"/>
      <c r="T224" s="182"/>
      <c r="Y224" s="27">
        <f t="shared" ref="Y224:AJ224" si="56">SUM(Y4:Y223)</f>
        <v>105</v>
      </c>
      <c r="Z224" s="26">
        <f t="shared" si="56"/>
        <v>1807615.0899999996</v>
      </c>
      <c r="AA224" s="27">
        <f t="shared" si="56"/>
        <v>23</v>
      </c>
      <c r="AB224" s="26">
        <f t="shared" si="56"/>
        <v>168118.76</v>
      </c>
      <c r="AC224" s="27">
        <f t="shared" si="56"/>
        <v>1</v>
      </c>
      <c r="AD224" s="26">
        <f t="shared" si="56"/>
        <v>45850</v>
      </c>
      <c r="AE224" s="27">
        <f t="shared" si="56"/>
        <v>12</v>
      </c>
      <c r="AF224" s="26">
        <f t="shared" si="56"/>
        <v>404944</v>
      </c>
      <c r="AG224" s="27">
        <f t="shared" si="56"/>
        <v>52</v>
      </c>
      <c r="AH224" s="26">
        <f t="shared" si="56"/>
        <v>10429540.560000001</v>
      </c>
      <c r="AI224" s="27">
        <f t="shared" si="56"/>
        <v>27</v>
      </c>
      <c r="AJ224" s="26">
        <f t="shared" si="56"/>
        <v>1143173.07</v>
      </c>
      <c r="AK224" s="36">
        <f>Y224+AA224+AC224+AE224+AG224+AI224</f>
        <v>220</v>
      </c>
      <c r="AL224" s="35">
        <f>Z224+AB224+AD224+AF224+AH224+AJ224</f>
        <v>13999241.48</v>
      </c>
    </row>
    <row r="225" spans="4:38" s="9" customFormat="1" x14ac:dyDescent="0.25">
      <c r="D225" s="10"/>
      <c r="R225" s="11">
        <f>SUM(R9:R223)</f>
        <v>4128125.5199999991</v>
      </c>
      <c r="S225" s="11">
        <f>SUM(S9:S223)</f>
        <v>122373.47000000002</v>
      </c>
      <c r="T225" s="247">
        <f>SUM(T9:T223)</f>
        <v>215</v>
      </c>
      <c r="U225" s="11">
        <f>SUM(U9:U223)</f>
        <v>4005752.05</v>
      </c>
      <c r="Y225" s="247">
        <f t="shared" ref="Y225:AJ225" si="57">SUM(Y9:Y223)</f>
        <v>102</v>
      </c>
      <c r="Z225" s="11">
        <f t="shared" si="57"/>
        <v>1086499.1299999999</v>
      </c>
      <c r="AA225" s="247">
        <f t="shared" si="57"/>
        <v>23</v>
      </c>
      <c r="AB225" s="11">
        <f t="shared" si="57"/>
        <v>168118.76</v>
      </c>
      <c r="AC225" s="247">
        <f t="shared" si="57"/>
        <v>1</v>
      </c>
      <c r="AD225" s="11">
        <f t="shared" si="57"/>
        <v>45850</v>
      </c>
      <c r="AE225" s="247">
        <f t="shared" si="57"/>
        <v>12</v>
      </c>
      <c r="AF225" s="11">
        <f t="shared" si="57"/>
        <v>404944</v>
      </c>
      <c r="AG225" s="247">
        <f t="shared" si="57"/>
        <v>50</v>
      </c>
      <c r="AH225" s="11">
        <f t="shared" si="57"/>
        <v>1279540.5599999996</v>
      </c>
      <c r="AI225" s="247">
        <f t="shared" si="57"/>
        <v>27</v>
      </c>
      <c r="AJ225" s="11">
        <f t="shared" si="57"/>
        <v>1143173.07</v>
      </c>
      <c r="AK225" s="36">
        <f>Y225+AA225+AC225+AE225+AG225+AI225</f>
        <v>215</v>
      </c>
      <c r="AL225" s="35">
        <f>Z225+AB225+AD225+AF225+AH225+AJ225</f>
        <v>4128125.5199999996</v>
      </c>
    </row>
    <row r="226" spans="4:38" x14ac:dyDescent="0.25">
      <c r="R226" s="246">
        <f>SUM(R4:R223)</f>
        <v>13999241.479999999</v>
      </c>
      <c r="S226" s="246">
        <f t="shared" ref="S226:U226" si="58">SUM(S4:S223)</f>
        <v>8974477.339999998</v>
      </c>
      <c r="T226" s="248">
        <f t="shared" si="58"/>
        <v>220</v>
      </c>
      <c r="U226" s="246">
        <f t="shared" si="58"/>
        <v>5024764.1399999997</v>
      </c>
      <c r="Y226" s="248"/>
      <c r="Z226" s="246"/>
      <c r="AA226" s="248"/>
      <c r="AB226" s="246"/>
      <c r="AC226" s="248"/>
      <c r="AD226" s="246"/>
      <c r="AE226" s="248"/>
      <c r="AF226" s="246"/>
      <c r="AG226" s="248"/>
      <c r="AH226" s="246"/>
      <c r="AI226" s="248"/>
      <c r="AJ226" s="246"/>
    </row>
    <row r="229" spans="4:38" x14ac:dyDescent="0.25">
      <c r="R229" s="246">
        <f>'2.1'!I36</f>
        <v>8035051.96</v>
      </c>
    </row>
    <row r="230" spans="4:38" x14ac:dyDescent="0.25">
      <c r="R230" s="246">
        <f>'2.4.1'!J51</f>
        <v>3858878</v>
      </c>
    </row>
    <row r="231" spans="4:38" x14ac:dyDescent="0.25">
      <c r="R231" s="246">
        <f>'2.4.3'!J80</f>
        <v>1785758.25</v>
      </c>
    </row>
    <row r="232" spans="4:38" x14ac:dyDescent="0.25">
      <c r="R232" s="246">
        <f>'2.5.1'!H42</f>
        <v>0</v>
      </c>
    </row>
  </sheetData>
  <autoFilter ref="A1:U225" xr:uid="{00000000-0009-0000-0000-000017000000}"/>
  <mergeCells count="6">
    <mergeCell ref="AI1:AJ1"/>
    <mergeCell ref="Y1:Z1"/>
    <mergeCell ref="AA1:AB1"/>
    <mergeCell ref="AC1:AD1"/>
    <mergeCell ref="AE1:AF1"/>
    <mergeCell ref="AG1:AH1"/>
  </mergeCells>
  <pageMargins left="0.75" right="0.75" top="1" bottom="1" header="0.5" footer="0.5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F26"/>
  <sheetViews>
    <sheetView zoomScaleNormal="100" workbookViewId="0">
      <selection activeCell="E10" sqref="E10"/>
    </sheetView>
  </sheetViews>
  <sheetFormatPr defaultRowHeight="15" x14ac:dyDescent="0.25"/>
  <cols>
    <col min="1" max="1" width="51.140625" style="124" customWidth="1"/>
    <col min="2" max="2" width="10.85546875" style="125" customWidth="1"/>
    <col min="3" max="3" width="9.85546875" style="125" customWidth="1"/>
    <col min="4" max="4" width="15.7109375" style="125" customWidth="1"/>
    <col min="5" max="5" width="14.28515625" style="129" customWidth="1"/>
    <col min="6" max="6" width="9.5703125" style="124" customWidth="1"/>
    <col min="7" max="16384" width="9.140625" style="124"/>
  </cols>
  <sheetData>
    <row r="1" spans="1:6" x14ac:dyDescent="0.25">
      <c r="E1" s="126" t="s">
        <v>992</v>
      </c>
    </row>
    <row r="2" spans="1:6" x14ac:dyDescent="0.25">
      <c r="A2" s="213" t="s">
        <v>990</v>
      </c>
      <c r="B2" s="130">
        <v>1</v>
      </c>
      <c r="C2" s="130" t="s">
        <v>994</v>
      </c>
      <c r="D2" s="131">
        <f t="shared" ref="D2:D3" si="0">E2/B2</f>
        <v>99660</v>
      </c>
      <c r="E2" s="132">
        <v>99660</v>
      </c>
    </row>
    <row r="3" spans="1:6" x14ac:dyDescent="0.25">
      <c r="A3" s="213" t="s">
        <v>989</v>
      </c>
      <c r="B3" s="130">
        <v>1</v>
      </c>
      <c r="C3" s="130" t="s">
        <v>994</v>
      </c>
      <c r="D3" s="131">
        <f t="shared" si="0"/>
        <v>5000</v>
      </c>
      <c r="E3" s="132">
        <v>5000</v>
      </c>
    </row>
    <row r="4" spans="1:6" x14ac:dyDescent="0.25">
      <c r="A4" s="213" t="s">
        <v>474</v>
      </c>
      <c r="B4" s="130">
        <v>26</v>
      </c>
      <c r="C4" s="130" t="s">
        <v>994</v>
      </c>
      <c r="D4" s="131">
        <f t="shared" ref="D4:D11" si="1">E4/B4</f>
        <v>1000</v>
      </c>
      <c r="E4" s="132">
        <v>26000</v>
      </c>
    </row>
    <row r="5" spans="1:6" x14ac:dyDescent="0.25">
      <c r="A5" s="213" t="s">
        <v>988</v>
      </c>
      <c r="B5" s="130">
        <v>4</v>
      </c>
      <c r="C5" s="130" t="s">
        <v>994</v>
      </c>
      <c r="D5" s="131">
        <f t="shared" si="1"/>
        <v>3000</v>
      </c>
      <c r="E5" s="132">
        <v>12000</v>
      </c>
    </row>
    <row r="6" spans="1:6" x14ac:dyDescent="0.25">
      <c r="A6" s="213" t="s">
        <v>1286</v>
      </c>
      <c r="B6" s="130">
        <v>8</v>
      </c>
      <c r="C6" s="130" t="s">
        <v>995</v>
      </c>
      <c r="D6" s="131">
        <v>750</v>
      </c>
      <c r="E6" s="132">
        <f t="shared" ref="E6:E7" si="2">B6*D6</f>
        <v>6000</v>
      </c>
    </row>
    <row r="7" spans="1:6" x14ac:dyDescent="0.25">
      <c r="A7" s="213" t="s">
        <v>1287</v>
      </c>
      <c r="B7" s="130">
        <v>40</v>
      </c>
      <c r="C7" s="130" t="s">
        <v>995</v>
      </c>
      <c r="D7" s="131">
        <v>600</v>
      </c>
      <c r="E7" s="132">
        <f t="shared" si="2"/>
        <v>24000</v>
      </c>
    </row>
    <row r="8" spans="1:6" ht="30" x14ac:dyDescent="0.25">
      <c r="A8" s="213" t="s">
        <v>1283</v>
      </c>
      <c r="B8" s="130">
        <v>46</v>
      </c>
      <c r="C8" s="130" t="s">
        <v>995</v>
      </c>
      <c r="D8" s="131">
        <v>250</v>
      </c>
      <c r="E8" s="132">
        <f>B8*D8</f>
        <v>11500</v>
      </c>
    </row>
    <row r="9" spans="1:6" ht="30" x14ac:dyDescent="0.25">
      <c r="A9" s="213" t="s">
        <v>1288</v>
      </c>
      <c r="B9" s="130">
        <v>3</v>
      </c>
      <c r="C9" s="130" t="s">
        <v>995</v>
      </c>
      <c r="D9" s="131">
        <f t="shared" si="1"/>
        <v>0</v>
      </c>
      <c r="E9" s="132">
        <v>0</v>
      </c>
    </row>
    <row r="10" spans="1:6" x14ac:dyDescent="0.25">
      <c r="A10" s="213" t="s">
        <v>987</v>
      </c>
      <c r="B10" s="130">
        <f>SUM(B11:B12)</f>
        <v>30</v>
      </c>
      <c r="C10" s="130" t="s">
        <v>994</v>
      </c>
      <c r="D10" s="131">
        <f t="shared" si="1"/>
        <v>72559.564333333343</v>
      </c>
      <c r="E10" s="132">
        <f>SUM(E11:E12)</f>
        <v>2176786.9300000002</v>
      </c>
    </row>
    <row r="11" spans="1:6" x14ac:dyDescent="0.25">
      <c r="A11" s="214" t="s">
        <v>993</v>
      </c>
      <c r="B11" s="130">
        <v>29</v>
      </c>
      <c r="C11" s="130" t="s">
        <v>994</v>
      </c>
      <c r="D11" s="131">
        <f t="shared" si="1"/>
        <v>75023.504137931042</v>
      </c>
      <c r="E11" s="132">
        <v>2175681.62</v>
      </c>
    </row>
    <row r="12" spans="1:6" x14ac:dyDescent="0.25">
      <c r="A12" s="214" t="s">
        <v>1278</v>
      </c>
      <c r="B12" s="130">
        <v>1</v>
      </c>
      <c r="C12" s="130" t="s">
        <v>994</v>
      </c>
      <c r="D12" s="131">
        <f t="shared" ref="D12:D14" si="3">E12/B12</f>
        <v>1105.31</v>
      </c>
      <c r="E12" s="132">
        <v>1105.31</v>
      </c>
    </row>
    <row r="13" spans="1:6" x14ac:dyDescent="0.25">
      <c r="A13" s="213" t="s">
        <v>476</v>
      </c>
      <c r="B13" s="130">
        <f>SUM(B14:B14)</f>
        <v>1</v>
      </c>
      <c r="C13" s="130" t="s">
        <v>994</v>
      </c>
      <c r="D13" s="131">
        <f t="shared" si="3"/>
        <v>33523.199999999997</v>
      </c>
      <c r="E13" s="132">
        <f>SUM(E14:E14)</f>
        <v>33523.199999999997</v>
      </c>
    </row>
    <row r="14" spans="1:6" x14ac:dyDescent="0.25">
      <c r="A14" s="214" t="s">
        <v>986</v>
      </c>
      <c r="B14" s="130">
        <v>1</v>
      </c>
      <c r="C14" s="130" t="s">
        <v>994</v>
      </c>
      <c r="D14" s="131">
        <f t="shared" si="3"/>
        <v>33523.199999999997</v>
      </c>
      <c r="E14" s="132">
        <v>33523.199999999997</v>
      </c>
    </row>
    <row r="15" spans="1:6" x14ac:dyDescent="0.25">
      <c r="A15" s="231" t="s">
        <v>1285</v>
      </c>
      <c r="B15" s="130"/>
      <c r="C15" s="130"/>
      <c r="D15" s="131"/>
      <c r="E15" s="132">
        <v>4983.9399999999996</v>
      </c>
    </row>
    <row r="16" spans="1:6" ht="23.25" customHeight="1" x14ac:dyDescent="0.25">
      <c r="A16" s="534" t="s">
        <v>991</v>
      </c>
      <c r="B16" s="534"/>
      <c r="C16" s="534"/>
      <c r="D16" s="534"/>
      <c r="E16" s="127">
        <f>SUM(E2:E10,E13,E15)</f>
        <v>2399454.0700000003</v>
      </c>
      <c r="F16" s="129"/>
    </row>
    <row r="17" spans="2:6" x14ac:dyDescent="0.25">
      <c r="D17" s="128"/>
    </row>
    <row r="18" spans="2:6" x14ac:dyDescent="0.25">
      <c r="D18" s="128"/>
      <c r="E18" s="129">
        <f>'платная деят-ть (ЦПП)'!C86+E12+E13</f>
        <v>2399454.0700000003</v>
      </c>
    </row>
    <row r="19" spans="2:6" x14ac:dyDescent="0.25">
      <c r="D19" s="128"/>
    </row>
    <row r="20" spans="2:6" x14ac:dyDescent="0.25">
      <c r="D20" s="128"/>
    </row>
    <row r="24" spans="2:6" x14ac:dyDescent="0.25">
      <c r="D24"/>
      <c r="E24"/>
      <c r="F24"/>
    </row>
    <row r="25" spans="2:6" x14ac:dyDescent="0.25">
      <c r="B25" s="124"/>
      <c r="C25" s="124"/>
      <c r="D25" s="124"/>
      <c r="E25"/>
      <c r="F25"/>
    </row>
    <row r="26" spans="2:6" x14ac:dyDescent="0.25">
      <c r="B26" s="124"/>
      <c r="C26" s="124"/>
      <c r="D26"/>
      <c r="E26"/>
      <c r="F26"/>
    </row>
  </sheetData>
  <mergeCells count="1">
    <mergeCell ref="A16:D16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 summaryRight="0"/>
    <pageSetUpPr autoPageBreaks="0" fitToPage="1"/>
  </sheetPr>
  <dimension ref="A1:Q86"/>
  <sheetViews>
    <sheetView zoomScaleNormal="100" workbookViewId="0">
      <selection activeCell="H11" sqref="H11"/>
    </sheetView>
  </sheetViews>
  <sheetFormatPr defaultRowHeight="11.25" x14ac:dyDescent="0.2"/>
  <cols>
    <col min="1" max="1" width="11.42578125" style="215" customWidth="1"/>
    <col min="2" max="2" width="38.42578125" style="215" customWidth="1"/>
    <col min="3" max="3" width="14.28515625" style="215" customWidth="1"/>
    <col min="4" max="4" width="15.7109375" style="225" customWidth="1"/>
    <col min="5" max="5" width="5.42578125" style="225" bestFit="1" customWidth="1"/>
    <col min="6" max="6" width="4.42578125" style="225" customWidth="1"/>
    <col min="7" max="7" width="14.42578125" style="225" customWidth="1"/>
    <col min="8" max="8" width="5.42578125" style="225" bestFit="1" customWidth="1"/>
    <col min="9" max="9" width="5.28515625" style="225" customWidth="1"/>
    <col min="10" max="10" width="4.42578125" style="225" bestFit="1" customWidth="1"/>
    <col min="11" max="15" width="9.140625" style="225" customWidth="1"/>
    <col min="16" max="17" width="9.140625" style="223" customWidth="1"/>
    <col min="18" max="255" width="9.140625" style="215" customWidth="1"/>
    <col min="256" max="16384" width="9.140625" style="215"/>
  </cols>
  <sheetData>
    <row r="1" spans="1:8" x14ac:dyDescent="0.2">
      <c r="A1" s="219" t="s">
        <v>16</v>
      </c>
      <c r="B1" s="219" t="s">
        <v>18</v>
      </c>
      <c r="C1" s="219" t="s">
        <v>1277</v>
      </c>
      <c r="E1" s="227" t="s">
        <v>1281</v>
      </c>
      <c r="H1" s="227" t="s">
        <v>1281</v>
      </c>
    </row>
    <row r="2" spans="1:8" ht="22.5" x14ac:dyDescent="0.2">
      <c r="A2" s="217" t="s">
        <v>1276</v>
      </c>
      <c r="B2" s="222" t="s">
        <v>1275</v>
      </c>
      <c r="C2" s="216">
        <v>1000</v>
      </c>
      <c r="D2" s="225" t="s">
        <v>474</v>
      </c>
    </row>
    <row r="3" spans="1:8" ht="22.5" x14ac:dyDescent="0.2">
      <c r="A3" s="217" t="s">
        <v>1273</v>
      </c>
      <c r="B3" s="222" t="s">
        <v>1274</v>
      </c>
      <c r="C3" s="216">
        <v>45000</v>
      </c>
      <c r="D3" s="225" t="s">
        <v>1279</v>
      </c>
    </row>
    <row r="4" spans="1:8" ht="22.5" x14ac:dyDescent="0.2">
      <c r="A4" s="217" t="s">
        <v>1273</v>
      </c>
      <c r="B4" s="222" t="s">
        <v>1272</v>
      </c>
      <c r="C4" s="216">
        <v>1000</v>
      </c>
      <c r="D4" s="225" t="s">
        <v>474</v>
      </c>
    </row>
    <row r="5" spans="1:8" ht="22.5" x14ac:dyDescent="0.2">
      <c r="A5" s="217" t="s">
        <v>1271</v>
      </c>
      <c r="B5" s="222" t="s">
        <v>1270</v>
      </c>
      <c r="C5" s="216">
        <v>18000</v>
      </c>
      <c r="D5" s="225" t="s">
        <v>1279</v>
      </c>
    </row>
    <row r="6" spans="1:8" ht="22.5" x14ac:dyDescent="0.2">
      <c r="A6" s="217" t="s">
        <v>1269</v>
      </c>
      <c r="B6" s="222" t="s">
        <v>1268</v>
      </c>
      <c r="C6" s="216">
        <v>1000</v>
      </c>
      <c r="D6" s="225" t="s">
        <v>474</v>
      </c>
    </row>
    <row r="7" spans="1:8" ht="22.5" x14ac:dyDescent="0.2">
      <c r="A7" s="217" t="s">
        <v>1267</v>
      </c>
      <c r="B7" s="222" t="s">
        <v>1266</v>
      </c>
      <c r="C7" s="216">
        <v>63594.91</v>
      </c>
      <c r="D7" s="225" t="s">
        <v>1279</v>
      </c>
    </row>
    <row r="8" spans="1:8" ht="22.5" x14ac:dyDescent="0.2">
      <c r="A8" s="217" t="s">
        <v>1264</v>
      </c>
      <c r="B8" s="222" t="s">
        <v>1143</v>
      </c>
      <c r="C8" s="216">
        <v>1000</v>
      </c>
      <c r="D8" s="225" t="s">
        <v>1142</v>
      </c>
    </row>
    <row r="9" spans="1:8" ht="22.5" x14ac:dyDescent="0.2">
      <c r="A9" s="217" t="s">
        <v>1264</v>
      </c>
      <c r="B9" s="222" t="s">
        <v>1265</v>
      </c>
      <c r="C9" s="216">
        <v>37125</v>
      </c>
      <c r="D9" s="225" t="s">
        <v>1279</v>
      </c>
    </row>
    <row r="10" spans="1:8" ht="22.5" x14ac:dyDescent="0.2">
      <c r="A10" s="217" t="s">
        <v>1264</v>
      </c>
      <c r="B10" s="222" t="s">
        <v>1263</v>
      </c>
      <c r="C10" s="216">
        <v>1000</v>
      </c>
      <c r="D10" s="225" t="s">
        <v>474</v>
      </c>
    </row>
    <row r="11" spans="1:8" ht="22.5" x14ac:dyDescent="0.2">
      <c r="A11" s="217" t="s">
        <v>1262</v>
      </c>
      <c r="B11" s="222" t="s">
        <v>1261</v>
      </c>
      <c r="C11" s="216">
        <v>1000</v>
      </c>
      <c r="D11" s="225" t="s">
        <v>474</v>
      </c>
    </row>
    <row r="12" spans="1:8" ht="22.5" x14ac:dyDescent="0.2">
      <c r="A12" s="217" t="s">
        <v>1260</v>
      </c>
      <c r="B12" s="222" t="s">
        <v>1259</v>
      </c>
      <c r="C12" s="216">
        <v>216000</v>
      </c>
      <c r="D12" s="225" t="s">
        <v>1279</v>
      </c>
    </row>
    <row r="13" spans="1:8" ht="22.5" x14ac:dyDescent="0.2">
      <c r="A13" s="217" t="s">
        <v>1258</v>
      </c>
      <c r="B13" s="222" t="s">
        <v>1232</v>
      </c>
      <c r="C13" s="216">
        <v>2000</v>
      </c>
      <c r="D13" s="225" t="s">
        <v>1231</v>
      </c>
    </row>
    <row r="14" spans="1:8" ht="22.5" x14ac:dyDescent="0.2">
      <c r="A14" s="217" t="s">
        <v>1257</v>
      </c>
      <c r="B14" s="222" t="s">
        <v>1256</v>
      </c>
      <c r="C14" s="216">
        <v>76520.55</v>
      </c>
      <c r="D14" s="225" t="s">
        <v>1279</v>
      </c>
    </row>
    <row r="15" spans="1:8" ht="22.5" x14ac:dyDescent="0.2">
      <c r="A15" s="217" t="s">
        <v>1255</v>
      </c>
      <c r="B15" s="222" t="s">
        <v>1143</v>
      </c>
      <c r="C15" s="216">
        <v>6900</v>
      </c>
      <c r="D15" s="225" t="s">
        <v>1142</v>
      </c>
    </row>
    <row r="16" spans="1:8" ht="22.5" x14ac:dyDescent="0.2">
      <c r="A16" s="217" t="s">
        <v>1255</v>
      </c>
      <c r="B16" s="222" t="s">
        <v>1254</v>
      </c>
      <c r="C16" s="216">
        <v>225000</v>
      </c>
      <c r="D16" s="225" t="s">
        <v>1279</v>
      </c>
    </row>
    <row r="17" spans="1:10" ht="22.5" x14ac:dyDescent="0.2">
      <c r="A17" s="217" t="s">
        <v>1253</v>
      </c>
      <c r="B17" s="222" t="s">
        <v>1252</v>
      </c>
      <c r="C17" s="216">
        <v>17325</v>
      </c>
      <c r="D17" s="225" t="s">
        <v>1279</v>
      </c>
    </row>
    <row r="18" spans="1:10" ht="22.5" x14ac:dyDescent="0.2">
      <c r="A18" s="217" t="s">
        <v>1251</v>
      </c>
      <c r="B18" s="222" t="s">
        <v>1250</v>
      </c>
      <c r="C18" s="216">
        <v>1500</v>
      </c>
      <c r="D18" s="225" t="s">
        <v>1280</v>
      </c>
      <c r="E18" s="225">
        <v>2</v>
      </c>
      <c r="F18" s="225">
        <v>750</v>
      </c>
      <c r="G18" s="225" t="s">
        <v>1282</v>
      </c>
      <c r="H18" s="225">
        <v>0</v>
      </c>
      <c r="I18" s="225">
        <v>250</v>
      </c>
      <c r="J18" s="225">
        <f>E18*F18+H18*I18</f>
        <v>1500</v>
      </c>
    </row>
    <row r="19" spans="1:10" ht="22.5" x14ac:dyDescent="0.2">
      <c r="A19" s="217" t="s">
        <v>1249</v>
      </c>
      <c r="B19" s="222" t="s">
        <v>1248</v>
      </c>
      <c r="C19" s="216">
        <v>1000</v>
      </c>
      <c r="D19" s="225" t="s">
        <v>474</v>
      </c>
    </row>
    <row r="20" spans="1:10" ht="22.5" x14ac:dyDescent="0.2">
      <c r="A20" s="217" t="s">
        <v>1246</v>
      </c>
      <c r="B20" s="222" t="s">
        <v>1247</v>
      </c>
      <c r="C20" s="216">
        <v>39375</v>
      </c>
      <c r="D20" s="225" t="s">
        <v>1279</v>
      </c>
    </row>
    <row r="21" spans="1:10" ht="22.5" x14ac:dyDescent="0.2">
      <c r="A21" s="217" t="s">
        <v>1246</v>
      </c>
      <c r="B21" s="222" t="s">
        <v>1245</v>
      </c>
      <c r="C21" s="216">
        <v>112500</v>
      </c>
      <c r="D21" s="225" t="s">
        <v>1279</v>
      </c>
    </row>
    <row r="22" spans="1:10" ht="22.5" x14ac:dyDescent="0.2">
      <c r="A22" s="217" t="s">
        <v>1244</v>
      </c>
      <c r="B22" s="222" t="s">
        <v>1243</v>
      </c>
      <c r="C22" s="216">
        <v>38013.699999999997</v>
      </c>
      <c r="D22" s="225" t="s">
        <v>1279</v>
      </c>
    </row>
    <row r="23" spans="1:10" ht="22.5" x14ac:dyDescent="0.2">
      <c r="A23" s="217" t="s">
        <v>1242</v>
      </c>
      <c r="B23" s="222" t="s">
        <v>1241</v>
      </c>
      <c r="C23" s="216">
        <v>1000</v>
      </c>
      <c r="D23" s="225" t="s">
        <v>474</v>
      </c>
    </row>
    <row r="24" spans="1:10" ht="22.5" x14ac:dyDescent="0.2">
      <c r="A24" s="217" t="s">
        <v>1239</v>
      </c>
      <c r="B24" s="222" t="s">
        <v>1143</v>
      </c>
      <c r="C24" s="216">
        <v>8400</v>
      </c>
      <c r="D24" s="225" t="s">
        <v>1142</v>
      </c>
    </row>
    <row r="25" spans="1:10" ht="22.5" x14ac:dyDescent="0.2">
      <c r="A25" s="217" t="s">
        <v>1239</v>
      </c>
      <c r="B25" s="222" t="s">
        <v>1240</v>
      </c>
      <c r="C25" s="216">
        <v>73125</v>
      </c>
      <c r="D25" s="225" t="s">
        <v>1279</v>
      </c>
    </row>
    <row r="26" spans="1:10" ht="22.5" x14ac:dyDescent="0.2">
      <c r="A26" s="217" t="s">
        <v>1239</v>
      </c>
      <c r="B26" s="222" t="s">
        <v>1238</v>
      </c>
      <c r="C26" s="216">
        <v>44550</v>
      </c>
      <c r="D26" s="225" t="s">
        <v>1279</v>
      </c>
    </row>
    <row r="27" spans="1:10" ht="22.5" x14ac:dyDescent="0.2">
      <c r="A27" s="217" t="s">
        <v>1236</v>
      </c>
      <c r="B27" s="222" t="s">
        <v>1237</v>
      </c>
      <c r="C27" s="216">
        <v>157500</v>
      </c>
      <c r="D27" s="225" t="s">
        <v>1279</v>
      </c>
    </row>
    <row r="28" spans="1:10" ht="22.5" x14ac:dyDescent="0.2">
      <c r="A28" s="217" t="s">
        <v>1236</v>
      </c>
      <c r="B28" s="222" t="s">
        <v>1235</v>
      </c>
      <c r="C28" s="216">
        <v>5100</v>
      </c>
      <c r="D28" s="225" t="s">
        <v>1280</v>
      </c>
      <c r="E28" s="225">
        <v>6</v>
      </c>
      <c r="F28" s="225">
        <v>600</v>
      </c>
      <c r="G28" s="225" t="s">
        <v>1282</v>
      </c>
      <c r="H28" s="225">
        <v>6</v>
      </c>
      <c r="I28" s="225">
        <v>250</v>
      </c>
      <c r="J28" s="225">
        <f>E28*F28+H28*I28</f>
        <v>5100</v>
      </c>
    </row>
    <row r="29" spans="1:10" ht="22.5" x14ac:dyDescent="0.2">
      <c r="A29" s="217" t="s">
        <v>1234</v>
      </c>
      <c r="B29" s="222" t="s">
        <v>1233</v>
      </c>
      <c r="C29" s="216">
        <v>144657.53</v>
      </c>
      <c r="D29" s="225" t="s">
        <v>1279</v>
      </c>
    </row>
    <row r="30" spans="1:10" ht="22.5" x14ac:dyDescent="0.2">
      <c r="A30" s="217" t="s">
        <v>1230</v>
      </c>
      <c r="B30" s="222" t="s">
        <v>1232</v>
      </c>
      <c r="C30" s="216">
        <v>3000</v>
      </c>
      <c r="D30" s="225" t="s">
        <v>1231</v>
      </c>
    </row>
    <row r="31" spans="1:10" ht="22.5" x14ac:dyDescent="0.2">
      <c r="A31" s="217" t="s">
        <v>1230</v>
      </c>
      <c r="B31" s="222" t="s">
        <v>1229</v>
      </c>
      <c r="C31" s="216">
        <v>1000</v>
      </c>
      <c r="D31" s="225" t="s">
        <v>474</v>
      </c>
    </row>
    <row r="32" spans="1:10" ht="22.5" x14ac:dyDescent="0.2">
      <c r="A32" s="217" t="s">
        <v>1227</v>
      </c>
      <c r="B32" s="222" t="s">
        <v>1228</v>
      </c>
      <c r="C32" s="216">
        <v>1000</v>
      </c>
      <c r="D32" s="225" t="s">
        <v>474</v>
      </c>
    </row>
    <row r="33" spans="1:10" ht="22.5" x14ac:dyDescent="0.2">
      <c r="A33" s="217" t="s">
        <v>1227</v>
      </c>
      <c r="B33" s="222" t="s">
        <v>1226</v>
      </c>
      <c r="C33" s="216">
        <v>1000</v>
      </c>
      <c r="D33" s="225" t="s">
        <v>474</v>
      </c>
    </row>
    <row r="34" spans="1:10" ht="22.5" x14ac:dyDescent="0.2">
      <c r="A34" s="217" t="s">
        <v>1225</v>
      </c>
      <c r="B34" s="222" t="s">
        <v>1224</v>
      </c>
      <c r="C34" s="216">
        <v>43841.3</v>
      </c>
      <c r="D34" s="225" t="s">
        <v>1279</v>
      </c>
    </row>
    <row r="35" spans="1:10" ht="22.5" x14ac:dyDescent="0.2">
      <c r="A35" s="217" t="s">
        <v>1223</v>
      </c>
      <c r="B35" s="222" t="s">
        <v>1222</v>
      </c>
      <c r="C35" s="216">
        <v>1000</v>
      </c>
      <c r="D35" s="225" t="s">
        <v>474</v>
      </c>
    </row>
    <row r="36" spans="1:10" ht="22.5" x14ac:dyDescent="0.2">
      <c r="A36" s="217" t="s">
        <v>1221</v>
      </c>
      <c r="B36" s="222" t="s">
        <v>1143</v>
      </c>
      <c r="C36" s="216">
        <v>4700</v>
      </c>
      <c r="D36" s="225" t="s">
        <v>1142</v>
      </c>
    </row>
    <row r="37" spans="1:10" ht="22.5" x14ac:dyDescent="0.2">
      <c r="A37" s="217" t="s">
        <v>1220</v>
      </c>
      <c r="B37" s="222" t="s">
        <v>1219</v>
      </c>
      <c r="C37" s="216">
        <v>2000</v>
      </c>
      <c r="D37" s="225" t="s">
        <v>1280</v>
      </c>
      <c r="E37" s="225">
        <v>2</v>
      </c>
      <c r="F37" s="225">
        <v>750</v>
      </c>
      <c r="G37" s="225" t="s">
        <v>1282</v>
      </c>
      <c r="H37" s="225">
        <v>2</v>
      </c>
      <c r="I37" s="225">
        <v>250</v>
      </c>
      <c r="J37" s="225">
        <f>E37*F37+H37*I37</f>
        <v>2000</v>
      </c>
    </row>
    <row r="38" spans="1:10" ht="22.5" x14ac:dyDescent="0.2">
      <c r="A38" s="217" t="s">
        <v>1218</v>
      </c>
      <c r="B38" s="222" t="s">
        <v>1217</v>
      </c>
      <c r="C38" s="216">
        <v>1000</v>
      </c>
      <c r="D38" s="225" t="s">
        <v>474</v>
      </c>
    </row>
    <row r="39" spans="1:10" ht="22.5" x14ac:dyDescent="0.2">
      <c r="A39" s="217" t="s">
        <v>1215</v>
      </c>
      <c r="B39" s="222" t="s">
        <v>1216</v>
      </c>
      <c r="C39" s="216">
        <v>2000</v>
      </c>
      <c r="D39" s="225" t="s">
        <v>1280</v>
      </c>
      <c r="E39" s="225">
        <v>2</v>
      </c>
      <c r="F39" s="225">
        <v>750</v>
      </c>
      <c r="G39" s="225" t="s">
        <v>1282</v>
      </c>
      <c r="H39" s="225">
        <v>2</v>
      </c>
      <c r="I39" s="225">
        <v>250</v>
      </c>
      <c r="J39" s="225">
        <f>E39*F39+H39*I39</f>
        <v>2000</v>
      </c>
    </row>
    <row r="40" spans="1:10" ht="22.5" x14ac:dyDescent="0.2">
      <c r="A40" s="217" t="s">
        <v>1215</v>
      </c>
      <c r="B40" s="222" t="s">
        <v>1214</v>
      </c>
      <c r="C40" s="216">
        <v>1000</v>
      </c>
      <c r="D40" s="225" t="s">
        <v>474</v>
      </c>
    </row>
    <row r="41" spans="1:10" ht="22.5" x14ac:dyDescent="0.2">
      <c r="A41" s="217" t="s">
        <v>1213</v>
      </c>
      <c r="B41" s="222" t="s">
        <v>1212</v>
      </c>
      <c r="C41" s="216">
        <v>1000</v>
      </c>
      <c r="D41" s="225" t="s">
        <v>474</v>
      </c>
    </row>
    <row r="42" spans="1:10" ht="22.5" x14ac:dyDescent="0.2">
      <c r="A42" s="217" t="s">
        <v>1211</v>
      </c>
      <c r="B42" s="222" t="s">
        <v>1143</v>
      </c>
      <c r="C42" s="216">
        <v>2000</v>
      </c>
      <c r="D42" s="225" t="s">
        <v>1142</v>
      </c>
    </row>
    <row r="43" spans="1:10" ht="22.5" x14ac:dyDescent="0.2">
      <c r="A43" s="217" t="s">
        <v>1210</v>
      </c>
      <c r="B43" s="222" t="s">
        <v>1209</v>
      </c>
      <c r="C43" s="216">
        <v>1000</v>
      </c>
      <c r="D43" s="225" t="s">
        <v>474</v>
      </c>
    </row>
    <row r="44" spans="1:10" ht="22.5" x14ac:dyDescent="0.2">
      <c r="A44" s="217" t="s">
        <v>1208</v>
      </c>
      <c r="B44" s="222" t="s">
        <v>1207</v>
      </c>
      <c r="C44" s="216">
        <v>15120</v>
      </c>
      <c r="D44" s="225" t="s">
        <v>1279</v>
      </c>
    </row>
    <row r="45" spans="1:10" ht="22.5" x14ac:dyDescent="0.2">
      <c r="A45" s="217" t="s">
        <v>1206</v>
      </c>
      <c r="B45" s="222" t="s">
        <v>1205</v>
      </c>
      <c r="C45" s="216">
        <v>224794.52</v>
      </c>
      <c r="D45" s="225" t="s">
        <v>1279</v>
      </c>
    </row>
    <row r="46" spans="1:10" ht="22.5" x14ac:dyDescent="0.2">
      <c r="A46" s="217" t="s">
        <v>1204</v>
      </c>
      <c r="B46" s="222" t="s">
        <v>1143</v>
      </c>
      <c r="C46" s="216">
        <v>8300</v>
      </c>
      <c r="D46" s="225" t="s">
        <v>1142</v>
      </c>
    </row>
    <row r="47" spans="1:10" ht="22.5" x14ac:dyDescent="0.2">
      <c r="A47" s="217" t="s">
        <v>1203</v>
      </c>
      <c r="B47" s="222" t="s">
        <v>1202</v>
      </c>
      <c r="C47" s="216">
        <v>1000</v>
      </c>
      <c r="D47" s="225" t="s">
        <v>474</v>
      </c>
    </row>
    <row r="48" spans="1:10" ht="22.5" x14ac:dyDescent="0.2">
      <c r="A48" s="217" t="s">
        <v>1201</v>
      </c>
      <c r="B48" s="222" t="s">
        <v>1200</v>
      </c>
      <c r="C48" s="216">
        <v>184260.61</v>
      </c>
      <c r="D48" s="225" t="s">
        <v>1279</v>
      </c>
    </row>
    <row r="49" spans="1:4" ht="22.5" x14ac:dyDescent="0.2">
      <c r="A49" s="217" t="s">
        <v>1199</v>
      </c>
      <c r="B49" s="222" t="s">
        <v>1198</v>
      </c>
      <c r="C49" s="216">
        <v>1000</v>
      </c>
      <c r="D49" s="225" t="s">
        <v>474</v>
      </c>
    </row>
    <row r="50" spans="1:4" ht="22.5" x14ac:dyDescent="0.2">
      <c r="A50" s="217" t="s">
        <v>1196</v>
      </c>
      <c r="B50" s="222" t="s">
        <v>1197</v>
      </c>
      <c r="C50" s="216">
        <v>15750</v>
      </c>
      <c r="D50" s="225" t="s">
        <v>1279</v>
      </c>
    </row>
    <row r="51" spans="1:4" ht="22.5" x14ac:dyDescent="0.2">
      <c r="A51" s="217" t="s">
        <v>1196</v>
      </c>
      <c r="B51" s="222" t="s">
        <v>1195</v>
      </c>
      <c r="C51" s="216">
        <v>47250</v>
      </c>
      <c r="D51" s="225" t="s">
        <v>1279</v>
      </c>
    </row>
    <row r="52" spans="1:4" ht="22.5" x14ac:dyDescent="0.2">
      <c r="A52" s="217" t="s">
        <v>1194</v>
      </c>
      <c r="B52" s="222" t="s">
        <v>1193</v>
      </c>
      <c r="C52" s="216">
        <v>1000</v>
      </c>
      <c r="D52" s="225" t="s">
        <v>474</v>
      </c>
    </row>
    <row r="53" spans="1:4" ht="22.5" x14ac:dyDescent="0.2">
      <c r="A53" s="217" t="s">
        <v>1192</v>
      </c>
      <c r="B53" s="222" t="s">
        <v>1191</v>
      </c>
      <c r="C53" s="216">
        <v>1000</v>
      </c>
      <c r="D53" s="225" t="s">
        <v>474</v>
      </c>
    </row>
    <row r="54" spans="1:4" ht="22.5" x14ac:dyDescent="0.2">
      <c r="A54" s="217" t="s">
        <v>1189</v>
      </c>
      <c r="B54" s="222" t="s">
        <v>1190</v>
      </c>
      <c r="C54" s="216">
        <v>3000</v>
      </c>
      <c r="D54" s="225" t="s">
        <v>988</v>
      </c>
    </row>
    <row r="55" spans="1:4" ht="22.5" x14ac:dyDescent="0.2">
      <c r="A55" s="217" t="s">
        <v>1189</v>
      </c>
      <c r="B55" s="222" t="s">
        <v>1188</v>
      </c>
      <c r="C55" s="216">
        <v>1000</v>
      </c>
      <c r="D55" s="225" t="s">
        <v>474</v>
      </c>
    </row>
    <row r="56" spans="1:4" ht="22.5" x14ac:dyDescent="0.2">
      <c r="A56" s="217" t="s">
        <v>1186</v>
      </c>
      <c r="B56" s="222" t="s">
        <v>1187</v>
      </c>
      <c r="C56" s="216">
        <v>1000</v>
      </c>
      <c r="D56" s="225" t="s">
        <v>474</v>
      </c>
    </row>
    <row r="57" spans="1:4" ht="22.5" x14ac:dyDescent="0.2">
      <c r="A57" s="217" t="s">
        <v>1186</v>
      </c>
      <c r="B57" s="222" t="s">
        <v>1185</v>
      </c>
      <c r="C57" s="216">
        <v>3000</v>
      </c>
      <c r="D57" s="225" t="s">
        <v>988</v>
      </c>
    </row>
    <row r="58" spans="1:4" ht="22.5" x14ac:dyDescent="0.2">
      <c r="A58" s="217" t="s">
        <v>1184</v>
      </c>
      <c r="B58" s="222" t="s">
        <v>1143</v>
      </c>
      <c r="C58" s="216">
        <v>8410</v>
      </c>
      <c r="D58" s="225" t="s">
        <v>1142</v>
      </c>
    </row>
    <row r="59" spans="1:4" ht="22.5" x14ac:dyDescent="0.2">
      <c r="A59" s="217" t="s">
        <v>1183</v>
      </c>
      <c r="B59" s="222" t="s">
        <v>1182</v>
      </c>
      <c r="C59" s="216">
        <v>51880.07</v>
      </c>
      <c r="D59" s="225" t="s">
        <v>1279</v>
      </c>
    </row>
    <row r="60" spans="1:4" ht="22.5" x14ac:dyDescent="0.2">
      <c r="A60" s="217" t="s">
        <v>1181</v>
      </c>
      <c r="B60" s="222" t="s">
        <v>1180</v>
      </c>
      <c r="C60" s="216">
        <v>1000</v>
      </c>
      <c r="D60" s="225" t="s">
        <v>474</v>
      </c>
    </row>
    <row r="61" spans="1:4" ht="22.5" x14ac:dyDescent="0.2">
      <c r="A61" s="217" t="s">
        <v>1179</v>
      </c>
      <c r="B61" s="222" t="s">
        <v>1178</v>
      </c>
      <c r="C61" s="216">
        <v>1000</v>
      </c>
      <c r="D61" s="225" t="s">
        <v>474</v>
      </c>
    </row>
    <row r="62" spans="1:4" ht="22.5" x14ac:dyDescent="0.2">
      <c r="A62" s="217" t="s">
        <v>1177</v>
      </c>
      <c r="B62" s="222" t="s">
        <v>1176</v>
      </c>
      <c r="C62" s="216">
        <v>15721.23</v>
      </c>
      <c r="D62" s="225" t="s">
        <v>1279</v>
      </c>
    </row>
    <row r="63" spans="1:4" ht="22.5" x14ac:dyDescent="0.2">
      <c r="A63" s="228" t="s">
        <v>1175</v>
      </c>
      <c r="B63" s="218" t="s">
        <v>1174</v>
      </c>
      <c r="C63" s="229">
        <v>4983.9399999999996</v>
      </c>
      <c r="D63" s="230" t="s">
        <v>1284</v>
      </c>
    </row>
    <row r="64" spans="1:4" ht="22.5" x14ac:dyDescent="0.2">
      <c r="A64" s="217" t="s">
        <v>1173</v>
      </c>
      <c r="B64" s="222" t="s">
        <v>1143</v>
      </c>
      <c r="C64" s="216">
        <v>30710</v>
      </c>
      <c r="D64" s="225" t="s">
        <v>1142</v>
      </c>
    </row>
    <row r="65" spans="1:10" ht="22.5" x14ac:dyDescent="0.2">
      <c r="A65" s="217" t="s">
        <v>1173</v>
      </c>
      <c r="B65" s="222" t="s">
        <v>1172</v>
      </c>
      <c r="C65" s="216">
        <v>6800</v>
      </c>
      <c r="D65" s="225" t="s">
        <v>1280</v>
      </c>
      <c r="E65" s="225">
        <v>8</v>
      </c>
      <c r="F65" s="225">
        <v>600</v>
      </c>
      <c r="G65" s="225" t="s">
        <v>1282</v>
      </c>
      <c r="H65" s="225">
        <v>8</v>
      </c>
      <c r="I65" s="225">
        <v>250</v>
      </c>
      <c r="J65" s="225">
        <f>E65*F65+H65*I65</f>
        <v>6800</v>
      </c>
    </row>
    <row r="66" spans="1:10" ht="22.5" x14ac:dyDescent="0.2">
      <c r="A66" s="217" t="s">
        <v>1171</v>
      </c>
      <c r="B66" s="222" t="s">
        <v>1170</v>
      </c>
      <c r="C66" s="216">
        <v>3400</v>
      </c>
      <c r="D66" s="225" t="s">
        <v>1280</v>
      </c>
      <c r="E66" s="225">
        <v>4</v>
      </c>
      <c r="F66" s="225">
        <v>600</v>
      </c>
      <c r="G66" s="225" t="s">
        <v>1282</v>
      </c>
      <c r="H66" s="225">
        <v>4</v>
      </c>
      <c r="I66" s="225">
        <v>250</v>
      </c>
      <c r="J66" s="225">
        <f>E66*F66+H66*I66</f>
        <v>3400</v>
      </c>
    </row>
    <row r="67" spans="1:10" ht="22.5" x14ac:dyDescent="0.2">
      <c r="A67" s="217" t="s">
        <v>1168</v>
      </c>
      <c r="B67" s="222" t="s">
        <v>1169</v>
      </c>
      <c r="C67" s="216">
        <v>56728.77</v>
      </c>
      <c r="D67" s="225" t="s">
        <v>1279</v>
      </c>
    </row>
    <row r="68" spans="1:10" ht="22.5" x14ac:dyDescent="0.2">
      <c r="A68" s="217" t="s">
        <v>1168</v>
      </c>
      <c r="B68" s="222" t="s">
        <v>1167</v>
      </c>
      <c r="C68" s="216">
        <v>5100</v>
      </c>
      <c r="D68" s="225" t="s">
        <v>1280</v>
      </c>
      <c r="E68" s="225">
        <v>6</v>
      </c>
      <c r="F68" s="225">
        <v>600</v>
      </c>
      <c r="G68" s="225" t="s">
        <v>1282</v>
      </c>
      <c r="H68" s="225">
        <v>6</v>
      </c>
      <c r="I68" s="225">
        <v>250</v>
      </c>
      <c r="J68" s="225">
        <f>E68*F68+H68*I68</f>
        <v>5100</v>
      </c>
    </row>
    <row r="69" spans="1:10" ht="22.5" x14ac:dyDescent="0.2">
      <c r="A69" s="217" t="s">
        <v>1166</v>
      </c>
      <c r="B69" s="222" t="s">
        <v>1143</v>
      </c>
      <c r="C69" s="216">
        <v>7010</v>
      </c>
      <c r="D69" s="225" t="s">
        <v>1142</v>
      </c>
    </row>
    <row r="70" spans="1:10" ht="22.5" x14ac:dyDescent="0.2">
      <c r="A70" s="217" t="s">
        <v>1166</v>
      </c>
      <c r="B70" s="222" t="s">
        <v>1165</v>
      </c>
      <c r="C70" s="216">
        <v>2000</v>
      </c>
      <c r="D70" s="225" t="s">
        <v>1280</v>
      </c>
      <c r="E70" s="225">
        <v>2</v>
      </c>
      <c r="F70" s="225">
        <v>750</v>
      </c>
      <c r="G70" s="225" t="s">
        <v>1282</v>
      </c>
      <c r="H70" s="225">
        <v>2</v>
      </c>
      <c r="I70" s="225">
        <v>250</v>
      </c>
      <c r="J70" s="225">
        <f>E70*F70+H70*I70</f>
        <v>2000</v>
      </c>
    </row>
    <row r="71" spans="1:10" ht="33.75" x14ac:dyDescent="0.2">
      <c r="A71" s="217" t="s">
        <v>1163</v>
      </c>
      <c r="B71" s="222" t="s">
        <v>1164</v>
      </c>
      <c r="C71" s="216">
        <v>3000</v>
      </c>
      <c r="D71" s="225" t="s">
        <v>988</v>
      </c>
    </row>
    <row r="72" spans="1:10" ht="33.75" x14ac:dyDescent="0.2">
      <c r="A72" s="217" t="s">
        <v>1163</v>
      </c>
      <c r="B72" s="222" t="s">
        <v>1162</v>
      </c>
      <c r="C72" s="216">
        <v>3000</v>
      </c>
      <c r="D72" s="225" t="s">
        <v>988</v>
      </c>
    </row>
    <row r="73" spans="1:10" ht="33.75" x14ac:dyDescent="0.2">
      <c r="A73" s="217" t="s">
        <v>1161</v>
      </c>
      <c r="B73" s="222" t="s">
        <v>1160</v>
      </c>
      <c r="C73" s="216">
        <v>1000</v>
      </c>
      <c r="D73" s="225" t="s">
        <v>474</v>
      </c>
    </row>
    <row r="74" spans="1:10" ht="22.5" x14ac:dyDescent="0.2">
      <c r="A74" s="217" t="s">
        <v>1158</v>
      </c>
      <c r="B74" s="222" t="s">
        <v>1159</v>
      </c>
      <c r="C74" s="216">
        <v>5100</v>
      </c>
      <c r="D74" s="225" t="s">
        <v>1280</v>
      </c>
      <c r="E74" s="225">
        <v>6</v>
      </c>
      <c r="F74" s="225">
        <v>600</v>
      </c>
      <c r="G74" s="225" t="s">
        <v>1282</v>
      </c>
      <c r="H74" s="225">
        <v>6</v>
      </c>
      <c r="I74" s="225">
        <v>250</v>
      </c>
      <c r="J74" s="225">
        <f>E74*F74+H74*I74</f>
        <v>5100</v>
      </c>
    </row>
    <row r="75" spans="1:10" ht="33.75" x14ac:dyDescent="0.2">
      <c r="A75" s="217" t="s">
        <v>1158</v>
      </c>
      <c r="B75" s="222" t="s">
        <v>1157</v>
      </c>
      <c r="C75" s="216">
        <v>1000</v>
      </c>
      <c r="D75" s="225" t="s">
        <v>474</v>
      </c>
    </row>
    <row r="76" spans="1:10" ht="22.5" x14ac:dyDescent="0.2">
      <c r="A76" s="217" t="s">
        <v>1156</v>
      </c>
      <c r="B76" s="222" t="s">
        <v>1143</v>
      </c>
      <c r="C76" s="216">
        <v>9710</v>
      </c>
      <c r="D76" s="225" t="s">
        <v>1142</v>
      </c>
    </row>
    <row r="77" spans="1:10" ht="22.5" x14ac:dyDescent="0.2">
      <c r="A77" s="217" t="s">
        <v>1155</v>
      </c>
      <c r="B77" s="222" t="s">
        <v>1154</v>
      </c>
      <c r="C77" s="216">
        <v>8500</v>
      </c>
      <c r="D77" s="225" t="s">
        <v>1280</v>
      </c>
      <c r="E77" s="225">
        <v>10</v>
      </c>
      <c r="F77" s="225">
        <v>600</v>
      </c>
      <c r="G77" s="225" t="s">
        <v>1282</v>
      </c>
      <c r="H77" s="225">
        <v>10</v>
      </c>
      <c r="I77" s="225">
        <v>250</v>
      </c>
      <c r="J77" s="225">
        <f>E77*F77+H77*I77</f>
        <v>8500</v>
      </c>
    </row>
    <row r="78" spans="1:10" ht="22.5" x14ac:dyDescent="0.2">
      <c r="A78" s="217" t="s">
        <v>1153</v>
      </c>
      <c r="B78" s="222" t="s">
        <v>1152</v>
      </c>
      <c r="C78" s="216">
        <v>20250</v>
      </c>
      <c r="D78" s="225" t="s">
        <v>1279</v>
      </c>
    </row>
    <row r="79" spans="1:10" ht="22.5" x14ac:dyDescent="0.2">
      <c r="A79" s="217" t="s">
        <v>1151</v>
      </c>
      <c r="B79" s="222" t="s">
        <v>1143</v>
      </c>
      <c r="C79" s="216">
        <v>10510</v>
      </c>
      <c r="D79" s="225" t="s">
        <v>1142</v>
      </c>
    </row>
    <row r="80" spans="1:10" ht="33.75" x14ac:dyDescent="0.2">
      <c r="A80" s="217" t="s">
        <v>1150</v>
      </c>
      <c r="B80" s="222" t="s">
        <v>1149</v>
      </c>
      <c r="C80" s="216">
        <v>1000</v>
      </c>
      <c r="D80" s="225" t="s">
        <v>474</v>
      </c>
    </row>
    <row r="81" spans="1:17" ht="22.5" x14ac:dyDescent="0.2">
      <c r="A81" s="217" t="s">
        <v>1148</v>
      </c>
      <c r="B81" s="222" t="s">
        <v>1147</v>
      </c>
      <c r="C81" s="216">
        <v>30358.19</v>
      </c>
      <c r="D81" s="225" t="s">
        <v>1279</v>
      </c>
    </row>
    <row r="82" spans="1:17" ht="22.5" x14ac:dyDescent="0.2">
      <c r="A82" s="217" t="s">
        <v>1146</v>
      </c>
      <c r="B82" s="222" t="s">
        <v>1145</v>
      </c>
      <c r="C82" s="216">
        <v>125360.24</v>
      </c>
      <c r="D82" s="225" t="s">
        <v>1279</v>
      </c>
    </row>
    <row r="83" spans="1:17" ht="22.5" x14ac:dyDescent="0.2">
      <c r="A83" s="217" t="s">
        <v>1144</v>
      </c>
      <c r="B83" s="222" t="s">
        <v>1143</v>
      </c>
      <c r="C83" s="216">
        <v>2010</v>
      </c>
      <c r="D83" s="225" t="s">
        <v>1142</v>
      </c>
    </row>
    <row r="84" spans="1:17" ht="22.5" x14ac:dyDescent="0.2">
      <c r="A84" s="217" t="s">
        <v>1105</v>
      </c>
      <c r="B84" s="222" t="s">
        <v>1141</v>
      </c>
      <c r="C84" s="216">
        <v>29848</v>
      </c>
      <c r="D84" s="225" t="s">
        <v>1279</v>
      </c>
    </row>
    <row r="85" spans="1:17" ht="22.5" x14ac:dyDescent="0.2">
      <c r="A85" s="217" t="s">
        <v>1105</v>
      </c>
      <c r="B85" s="222" t="s">
        <v>1140</v>
      </c>
      <c r="C85" s="216">
        <v>6232</v>
      </c>
      <c r="D85" s="225" t="s">
        <v>1279</v>
      </c>
    </row>
    <row r="86" spans="1:17" s="221" customFormat="1" ht="12.75" x14ac:dyDescent="0.2">
      <c r="A86" s="535"/>
      <c r="B86" s="535"/>
      <c r="C86" s="220">
        <f>SUM(C2:C85)</f>
        <v>2364825.56</v>
      </c>
      <c r="D86" s="226"/>
      <c r="E86" s="226"/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224"/>
      <c r="Q86" s="224"/>
    </row>
  </sheetData>
  <autoFilter ref="A1:D86" xr:uid="{00000000-0009-0000-0000-000019000000}"/>
  <mergeCells count="1">
    <mergeCell ref="A86:B86"/>
  </mergeCells>
  <printOptions horizontalCentered="1"/>
  <pageMargins left="0.39370078740157483" right="0.39370078740157483" top="0.39370078740157483" bottom="0.39370078740157483" header="0" footer="0"/>
  <pageSetup paperSize="9" scale="79" fitToHeight="0" pageOrder="overThenDown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106"/>
  <sheetViews>
    <sheetView view="pageBreakPreview" zoomScale="70" zoomScaleNormal="80" zoomScaleSheetLayoutView="70" workbookViewId="0">
      <selection activeCell="E23" sqref="E23"/>
    </sheetView>
  </sheetViews>
  <sheetFormatPr defaultRowHeight="15" x14ac:dyDescent="0.25"/>
  <cols>
    <col min="1" max="1" width="20.7109375" customWidth="1"/>
    <col min="2" max="2" width="17.5703125" style="263" customWidth="1"/>
    <col min="3" max="3" width="9.85546875" customWidth="1"/>
    <col min="4" max="4" width="21.28515625" style="263" customWidth="1"/>
    <col min="5" max="5" width="20.140625" customWidth="1"/>
    <col min="6" max="8" width="18.140625" customWidth="1"/>
    <col min="9" max="14" width="16.42578125" customWidth="1"/>
    <col min="15" max="16" width="18.140625" customWidth="1"/>
    <col min="17" max="17" width="20.140625" customWidth="1"/>
    <col min="18" max="18" width="13.7109375" customWidth="1"/>
    <col min="19" max="19" width="16.28515625" customWidth="1"/>
    <col min="20" max="20" width="14.140625" customWidth="1"/>
    <col min="21" max="21" width="12.5703125" customWidth="1"/>
  </cols>
  <sheetData>
    <row r="1" spans="2:17" s="337" customFormat="1" ht="23.25" x14ac:dyDescent="0.35">
      <c r="B1" s="339"/>
      <c r="D1" s="338" t="s">
        <v>1355</v>
      </c>
    </row>
    <row r="2" spans="2:17" s="337" customFormat="1" ht="23.25" x14ac:dyDescent="0.35">
      <c r="B2" s="339"/>
      <c r="D2" s="338"/>
    </row>
    <row r="3" spans="2:17" s="317" customFormat="1" x14ac:dyDescent="0.25">
      <c r="B3" s="320"/>
      <c r="D3" s="336"/>
    </row>
    <row r="4" spans="2:17" x14ac:dyDescent="0.25">
      <c r="E4" s="298" t="s">
        <v>1334</v>
      </c>
      <c r="F4" s="298" t="s">
        <v>1333</v>
      </c>
      <c r="G4" s="298" t="s">
        <v>1332</v>
      </c>
      <c r="H4" s="298" t="s">
        <v>1331</v>
      </c>
      <c r="I4" s="298" t="s">
        <v>1330</v>
      </c>
      <c r="J4" s="298" t="s">
        <v>1329</v>
      </c>
      <c r="K4" s="298" t="s">
        <v>1328</v>
      </c>
      <c r="L4" s="298" t="s">
        <v>1327</v>
      </c>
      <c r="M4" s="298" t="s">
        <v>1326</v>
      </c>
      <c r="N4" s="298" t="s">
        <v>1325</v>
      </c>
      <c r="O4" s="298" t="s">
        <v>1324</v>
      </c>
      <c r="P4" s="298" t="s">
        <v>1323</v>
      </c>
    </row>
    <row r="5" spans="2:17" s="124" customFormat="1" ht="27" customHeight="1" x14ac:dyDescent="0.25">
      <c r="B5" s="335"/>
      <c r="D5" s="315" t="s">
        <v>1354</v>
      </c>
      <c r="E5" s="334">
        <f t="shared" ref="E5:Q5" si="0">E6+E7</f>
        <v>1827628.938544</v>
      </c>
      <c r="F5" s="334">
        <f t="shared" si="0"/>
        <v>106891.30866799998</v>
      </c>
      <c r="G5" s="334">
        <f t="shared" si="0"/>
        <v>109301.32227999999</v>
      </c>
      <c r="H5" s="334">
        <f t="shared" si="0"/>
        <v>110589.932804</v>
      </c>
      <c r="I5" s="334">
        <f t="shared" si="0"/>
        <v>94481.75113199999</v>
      </c>
      <c r="J5" s="334">
        <f t="shared" si="0"/>
        <v>67628.438651999997</v>
      </c>
      <c r="K5" s="334">
        <f t="shared" si="0"/>
        <v>63616.400775999995</v>
      </c>
      <c r="L5" s="334">
        <f t="shared" si="0"/>
        <v>69139.844091999985</v>
      </c>
      <c r="M5" s="334">
        <f t="shared" si="0"/>
        <v>79715.749803999992</v>
      </c>
      <c r="N5" s="334">
        <f t="shared" si="0"/>
        <v>94681.031659999993</v>
      </c>
      <c r="O5" s="334">
        <f t="shared" si="0"/>
        <v>105035.067776</v>
      </c>
      <c r="P5" s="334">
        <f t="shared" si="0"/>
        <v>115821.53479999999</v>
      </c>
      <c r="Q5" s="334">
        <f t="shared" si="0"/>
        <v>2844531.3209879999</v>
      </c>
    </row>
    <row r="6" spans="2:17" ht="15.75" x14ac:dyDescent="0.25">
      <c r="D6" s="333" t="s">
        <v>1342</v>
      </c>
      <c r="E6" s="332">
        <f t="shared" ref="E6:P6" si="1">E15+E35</f>
        <v>91276.743487999978</v>
      </c>
      <c r="F6" s="332">
        <f t="shared" si="1"/>
        <v>67760.244359999997</v>
      </c>
      <c r="G6" s="332">
        <f t="shared" si="1"/>
        <v>54623.099359999993</v>
      </c>
      <c r="H6" s="332">
        <f t="shared" si="1"/>
        <v>52842.117407999998</v>
      </c>
      <c r="I6" s="332">
        <f t="shared" si="1"/>
        <v>51047.117559999999</v>
      </c>
      <c r="J6" s="332">
        <f t="shared" si="1"/>
        <v>38597.998648000001</v>
      </c>
      <c r="K6" s="332">
        <f t="shared" si="1"/>
        <v>34659.044647999996</v>
      </c>
      <c r="L6" s="332">
        <f t="shared" si="1"/>
        <v>40075.184863999995</v>
      </c>
      <c r="M6" s="332">
        <f t="shared" si="1"/>
        <v>50680.748072000002</v>
      </c>
      <c r="N6" s="332">
        <f t="shared" si="1"/>
        <v>51971.742287999994</v>
      </c>
      <c r="O6" s="332">
        <f t="shared" si="1"/>
        <v>52276.698984000002</v>
      </c>
      <c r="P6" s="332">
        <f t="shared" si="1"/>
        <v>54702.664799999999</v>
      </c>
      <c r="Q6" s="331">
        <f>SUM(E6:P6)</f>
        <v>640513.40447999991</v>
      </c>
    </row>
    <row r="7" spans="2:17" ht="15.75" x14ac:dyDescent="0.25">
      <c r="D7" s="333" t="s">
        <v>1341</v>
      </c>
      <c r="E7" s="332">
        <f t="shared" ref="E7:Q7" si="2">E20+E43</f>
        <v>1736352.195056</v>
      </c>
      <c r="F7" s="332">
        <f t="shared" si="2"/>
        <v>39131.064307999994</v>
      </c>
      <c r="G7" s="332">
        <f t="shared" si="2"/>
        <v>54678.222919999993</v>
      </c>
      <c r="H7" s="332">
        <f t="shared" si="2"/>
        <v>57747.815395999998</v>
      </c>
      <c r="I7" s="332">
        <f t="shared" si="2"/>
        <v>43434.633571999992</v>
      </c>
      <c r="J7" s="332">
        <f t="shared" si="2"/>
        <v>29030.440003999996</v>
      </c>
      <c r="K7" s="332">
        <f t="shared" si="2"/>
        <v>28957.356127999999</v>
      </c>
      <c r="L7" s="332">
        <f t="shared" si="2"/>
        <v>29064.659227999997</v>
      </c>
      <c r="M7" s="332">
        <f t="shared" si="2"/>
        <v>29035.001731999997</v>
      </c>
      <c r="N7" s="332">
        <f t="shared" si="2"/>
        <v>42709.289371999999</v>
      </c>
      <c r="O7" s="332">
        <f t="shared" si="2"/>
        <v>52758.368791999994</v>
      </c>
      <c r="P7" s="332">
        <f t="shared" si="2"/>
        <v>61118.87</v>
      </c>
      <c r="Q7" s="331">
        <f t="shared" si="2"/>
        <v>2204017.9165079999</v>
      </c>
    </row>
    <row r="8" spans="2:17" ht="15.75" x14ac:dyDescent="0.25">
      <c r="D8" s="330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8"/>
    </row>
    <row r="9" spans="2:17" x14ac:dyDescent="0.25">
      <c r="Q9" s="277"/>
    </row>
    <row r="10" spans="2:17" ht="37.5" x14ac:dyDescent="0.25">
      <c r="D10" s="315" t="s">
        <v>1353</v>
      </c>
      <c r="E10" s="314">
        <f t="shared" ref="E10:P10" si="3">E15+E20</f>
        <v>1757513.0699999998</v>
      </c>
      <c r="F10" s="314">
        <f t="shared" si="3"/>
        <v>35303.1</v>
      </c>
      <c r="G10" s="314">
        <f t="shared" si="3"/>
        <v>43180.84</v>
      </c>
      <c r="H10" s="314">
        <f t="shared" si="3"/>
        <v>45151.06</v>
      </c>
      <c r="I10" s="314">
        <f t="shared" si="3"/>
        <v>45151.06</v>
      </c>
      <c r="J10" s="314">
        <f t="shared" si="3"/>
        <v>45151.06</v>
      </c>
      <c r="K10" s="314">
        <f t="shared" si="3"/>
        <v>45151.06</v>
      </c>
      <c r="L10" s="314">
        <f t="shared" si="3"/>
        <v>45151.06</v>
      </c>
      <c r="M10" s="314">
        <f t="shared" si="3"/>
        <v>45151.06</v>
      </c>
      <c r="N10" s="314">
        <f t="shared" si="3"/>
        <v>45151.06</v>
      </c>
      <c r="O10" s="314">
        <f t="shared" si="3"/>
        <v>45151.06</v>
      </c>
      <c r="P10" s="314">
        <f t="shared" si="3"/>
        <v>44436.35</v>
      </c>
      <c r="Q10" s="314">
        <f>SUM(E10:P10)</f>
        <v>2241641.8400000003</v>
      </c>
    </row>
    <row r="11" spans="2:17" s="317" customFormat="1" x14ac:dyDescent="0.25">
      <c r="B11" s="320"/>
      <c r="D11" s="323" t="s">
        <v>1352</v>
      </c>
      <c r="E11" s="322">
        <f t="shared" ref="E11:P11" si="4">E16+E21</f>
        <v>16403.07</v>
      </c>
      <c r="F11" s="322">
        <f t="shared" si="4"/>
        <v>16403.099999999999</v>
      </c>
      <c r="G11" s="322">
        <f t="shared" si="4"/>
        <v>16099.02</v>
      </c>
      <c r="H11" s="322">
        <f t="shared" si="4"/>
        <v>16251.060000000001</v>
      </c>
      <c r="I11" s="322">
        <f t="shared" si="4"/>
        <v>16251.060000000001</v>
      </c>
      <c r="J11" s="322">
        <f t="shared" si="4"/>
        <v>16251.060000000001</v>
      </c>
      <c r="K11" s="322">
        <f t="shared" si="4"/>
        <v>16251.060000000001</v>
      </c>
      <c r="L11" s="322">
        <f t="shared" si="4"/>
        <v>16251.060000000001</v>
      </c>
      <c r="M11" s="322">
        <f t="shared" si="4"/>
        <v>16251.060000000001</v>
      </c>
      <c r="N11" s="322">
        <f t="shared" si="4"/>
        <v>16251.060000000001</v>
      </c>
      <c r="O11" s="322">
        <f t="shared" si="4"/>
        <v>16251.060000000001</v>
      </c>
      <c r="P11" s="322">
        <f t="shared" si="4"/>
        <v>15536.349999999999</v>
      </c>
      <c r="Q11" s="321">
        <f>Q16+Q21</f>
        <v>194450.02</v>
      </c>
    </row>
    <row r="12" spans="2:17" s="317" customFormat="1" x14ac:dyDescent="0.25">
      <c r="B12" s="320"/>
      <c r="D12" s="323" t="s">
        <v>1351</v>
      </c>
      <c r="E12" s="322">
        <f t="shared" ref="E12:P12" si="5">E17+E22</f>
        <v>15900</v>
      </c>
      <c r="F12" s="322">
        <f t="shared" si="5"/>
        <v>15900</v>
      </c>
      <c r="G12" s="322">
        <f t="shared" si="5"/>
        <v>24081.82</v>
      </c>
      <c r="H12" s="322">
        <f t="shared" si="5"/>
        <v>25900</v>
      </c>
      <c r="I12" s="322">
        <f t="shared" si="5"/>
        <v>25900</v>
      </c>
      <c r="J12" s="322">
        <f t="shared" si="5"/>
        <v>25900</v>
      </c>
      <c r="K12" s="322">
        <f t="shared" si="5"/>
        <v>25900</v>
      </c>
      <c r="L12" s="322">
        <f t="shared" si="5"/>
        <v>25900</v>
      </c>
      <c r="M12" s="322">
        <f t="shared" si="5"/>
        <v>25900</v>
      </c>
      <c r="N12" s="322">
        <f t="shared" si="5"/>
        <v>25900</v>
      </c>
      <c r="O12" s="322">
        <f t="shared" si="5"/>
        <v>25900</v>
      </c>
      <c r="P12" s="322">
        <f t="shared" si="5"/>
        <v>25900</v>
      </c>
      <c r="Q12" s="321">
        <f>Q17+Q22</f>
        <v>288981.82</v>
      </c>
    </row>
    <row r="13" spans="2:17" s="317" customFormat="1" x14ac:dyDescent="0.25">
      <c r="B13" s="320"/>
      <c r="D13" s="323" t="s">
        <v>1350</v>
      </c>
      <c r="E13" s="322">
        <f t="shared" ref="E13:P13" si="6">E18+E23</f>
        <v>3000</v>
      </c>
      <c r="F13" s="322">
        <f t="shared" si="6"/>
        <v>3000</v>
      </c>
      <c r="G13" s="322">
        <f t="shared" si="6"/>
        <v>3000</v>
      </c>
      <c r="H13" s="322">
        <f t="shared" si="6"/>
        <v>3000</v>
      </c>
      <c r="I13" s="322">
        <f t="shared" si="6"/>
        <v>3000</v>
      </c>
      <c r="J13" s="322">
        <f t="shared" si="6"/>
        <v>3000</v>
      </c>
      <c r="K13" s="322">
        <f t="shared" si="6"/>
        <v>3000</v>
      </c>
      <c r="L13" s="322">
        <f t="shared" si="6"/>
        <v>3000</v>
      </c>
      <c r="M13" s="322">
        <f t="shared" si="6"/>
        <v>3000</v>
      </c>
      <c r="N13" s="322">
        <f t="shared" si="6"/>
        <v>3000</v>
      </c>
      <c r="O13" s="322">
        <f t="shared" si="6"/>
        <v>3000</v>
      </c>
      <c r="P13" s="322">
        <f t="shared" si="6"/>
        <v>3000</v>
      </c>
      <c r="Q13" s="321">
        <f>Q18+Q23</f>
        <v>36000</v>
      </c>
    </row>
    <row r="14" spans="2:17" s="317" customFormat="1" x14ac:dyDescent="0.25">
      <c r="B14" s="320"/>
      <c r="D14" s="323" t="s">
        <v>1349</v>
      </c>
      <c r="E14" s="322">
        <f t="shared" ref="E14:P14" si="7">E19+E24</f>
        <v>1722210</v>
      </c>
      <c r="F14" s="322">
        <f t="shared" si="7"/>
        <v>0</v>
      </c>
      <c r="G14" s="322">
        <f t="shared" si="7"/>
        <v>0</v>
      </c>
      <c r="H14" s="322">
        <f t="shared" si="7"/>
        <v>0</v>
      </c>
      <c r="I14" s="322">
        <f t="shared" si="7"/>
        <v>0</v>
      </c>
      <c r="J14" s="322">
        <f t="shared" si="7"/>
        <v>0</v>
      </c>
      <c r="K14" s="322">
        <f t="shared" si="7"/>
        <v>0</v>
      </c>
      <c r="L14" s="322">
        <f t="shared" si="7"/>
        <v>0</v>
      </c>
      <c r="M14" s="322">
        <f t="shared" si="7"/>
        <v>0</v>
      </c>
      <c r="N14" s="322">
        <f t="shared" si="7"/>
        <v>0</v>
      </c>
      <c r="O14" s="322">
        <f t="shared" si="7"/>
        <v>0</v>
      </c>
      <c r="P14" s="322">
        <f t="shared" si="7"/>
        <v>0</v>
      </c>
      <c r="Q14" s="321">
        <f>Q19+Q24</f>
        <v>1722210</v>
      </c>
    </row>
    <row r="15" spans="2:17" s="326" customFormat="1" ht="15.75" x14ac:dyDescent="0.25">
      <c r="B15" s="327"/>
      <c r="D15" s="306" t="s">
        <v>1342</v>
      </c>
      <c r="E15" s="305">
        <f t="shared" ref="E15:Q15" si="8">SUM(E16:E19)</f>
        <v>22309.9</v>
      </c>
      <c r="F15" s="305">
        <f t="shared" si="8"/>
        <v>22309.93</v>
      </c>
      <c r="G15" s="305">
        <f t="shared" si="8"/>
        <v>22005.85</v>
      </c>
      <c r="H15" s="305">
        <f t="shared" si="8"/>
        <v>22157.89</v>
      </c>
      <c r="I15" s="305">
        <f t="shared" si="8"/>
        <v>22157.89</v>
      </c>
      <c r="J15" s="305">
        <f t="shared" si="8"/>
        <v>22157.89</v>
      </c>
      <c r="K15" s="305">
        <f t="shared" si="8"/>
        <v>22157.89</v>
      </c>
      <c r="L15" s="305">
        <f t="shared" si="8"/>
        <v>22157.89</v>
      </c>
      <c r="M15" s="305">
        <f t="shared" si="8"/>
        <v>22157.89</v>
      </c>
      <c r="N15" s="305">
        <f t="shared" si="8"/>
        <v>22157.89</v>
      </c>
      <c r="O15" s="305">
        <f t="shared" si="8"/>
        <v>22157.89</v>
      </c>
      <c r="P15" s="305">
        <f t="shared" si="8"/>
        <v>22157.89</v>
      </c>
      <c r="Q15" s="305">
        <f t="shared" si="8"/>
        <v>266046.69</v>
      </c>
    </row>
    <row r="16" spans="2:17" s="317" customFormat="1" x14ac:dyDescent="0.25">
      <c r="B16" s="320"/>
      <c r="D16" s="323" t="s">
        <v>1352</v>
      </c>
      <c r="E16" s="322">
        <f t="shared" ref="E16:P16" si="9">E105</f>
        <v>4909.8999999999996</v>
      </c>
      <c r="F16" s="322">
        <f t="shared" si="9"/>
        <v>4909.93</v>
      </c>
      <c r="G16" s="322">
        <f t="shared" si="9"/>
        <v>4605.8500000000004</v>
      </c>
      <c r="H16" s="322">
        <f t="shared" si="9"/>
        <v>4757.8900000000003</v>
      </c>
      <c r="I16" s="322">
        <f t="shared" si="9"/>
        <v>4757.8900000000003</v>
      </c>
      <c r="J16" s="322">
        <f t="shared" si="9"/>
        <v>4757.8900000000003</v>
      </c>
      <c r="K16" s="322">
        <f t="shared" si="9"/>
        <v>4757.8900000000003</v>
      </c>
      <c r="L16" s="322">
        <f t="shared" si="9"/>
        <v>4757.8900000000003</v>
      </c>
      <c r="M16" s="322">
        <f t="shared" si="9"/>
        <v>4757.8900000000003</v>
      </c>
      <c r="N16" s="322">
        <f t="shared" si="9"/>
        <v>4757.8900000000003</v>
      </c>
      <c r="O16" s="322">
        <f t="shared" si="9"/>
        <v>4757.8900000000003</v>
      </c>
      <c r="P16" s="322">
        <f t="shared" si="9"/>
        <v>4757.8900000000003</v>
      </c>
      <c r="Q16" s="321">
        <f>SUM(E16:P16)</f>
        <v>57246.689999999995</v>
      </c>
    </row>
    <row r="17" spans="1:21" s="317" customFormat="1" x14ac:dyDescent="0.25">
      <c r="B17" s="320"/>
      <c r="D17" s="323" t="s">
        <v>1351</v>
      </c>
      <c r="E17" s="322">
        <f t="shared" ref="E17:P17" si="10">190800/12</f>
        <v>15900</v>
      </c>
      <c r="F17" s="322">
        <f t="shared" si="10"/>
        <v>15900</v>
      </c>
      <c r="G17" s="322">
        <f t="shared" si="10"/>
        <v>15900</v>
      </c>
      <c r="H17" s="322">
        <f t="shared" si="10"/>
        <v>15900</v>
      </c>
      <c r="I17" s="322">
        <f t="shared" si="10"/>
        <v>15900</v>
      </c>
      <c r="J17" s="322">
        <f t="shared" si="10"/>
        <v>15900</v>
      </c>
      <c r="K17" s="322">
        <f t="shared" si="10"/>
        <v>15900</v>
      </c>
      <c r="L17" s="322">
        <f t="shared" si="10"/>
        <v>15900</v>
      </c>
      <c r="M17" s="322">
        <f t="shared" si="10"/>
        <v>15900</v>
      </c>
      <c r="N17" s="322">
        <f t="shared" si="10"/>
        <v>15900</v>
      </c>
      <c r="O17" s="322">
        <f t="shared" si="10"/>
        <v>15900</v>
      </c>
      <c r="P17" s="322">
        <f t="shared" si="10"/>
        <v>15900</v>
      </c>
      <c r="Q17" s="321">
        <f>SUM(E17:P17)</f>
        <v>190800</v>
      </c>
    </row>
    <row r="18" spans="1:21" s="317" customFormat="1" x14ac:dyDescent="0.25">
      <c r="B18" s="320"/>
      <c r="D18" s="323" t="s">
        <v>1350</v>
      </c>
      <c r="E18" s="322">
        <f t="shared" ref="E18:P18" si="11">18000/12</f>
        <v>1500</v>
      </c>
      <c r="F18" s="322">
        <f t="shared" si="11"/>
        <v>1500</v>
      </c>
      <c r="G18" s="322">
        <f t="shared" si="11"/>
        <v>1500</v>
      </c>
      <c r="H18" s="322">
        <f t="shared" si="11"/>
        <v>1500</v>
      </c>
      <c r="I18" s="322">
        <f t="shared" si="11"/>
        <v>1500</v>
      </c>
      <c r="J18" s="322">
        <f t="shared" si="11"/>
        <v>1500</v>
      </c>
      <c r="K18" s="322">
        <f t="shared" si="11"/>
        <v>1500</v>
      </c>
      <c r="L18" s="322">
        <f t="shared" si="11"/>
        <v>1500</v>
      </c>
      <c r="M18" s="322">
        <f t="shared" si="11"/>
        <v>1500</v>
      </c>
      <c r="N18" s="322">
        <f t="shared" si="11"/>
        <v>1500</v>
      </c>
      <c r="O18" s="322">
        <f t="shared" si="11"/>
        <v>1500</v>
      </c>
      <c r="P18" s="322">
        <f t="shared" si="11"/>
        <v>1500</v>
      </c>
      <c r="Q18" s="321">
        <f>SUM(E18:P18)</f>
        <v>18000</v>
      </c>
    </row>
    <row r="19" spans="1:21" s="317" customFormat="1" x14ac:dyDescent="0.25">
      <c r="B19" s="320"/>
      <c r="D19" s="323" t="s">
        <v>1349</v>
      </c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1">
        <f>SUM(E19:P19)</f>
        <v>0</v>
      </c>
    </row>
    <row r="20" spans="1:21" s="324" customFormat="1" ht="15.75" x14ac:dyDescent="0.25">
      <c r="B20" s="325"/>
      <c r="D20" s="306" t="s">
        <v>1341</v>
      </c>
      <c r="E20" s="305">
        <f t="shared" ref="E20:Q20" si="12">SUM(E21:E24)</f>
        <v>1735203.17</v>
      </c>
      <c r="F20" s="305">
        <f t="shared" si="12"/>
        <v>12993.17</v>
      </c>
      <c r="G20" s="305">
        <f t="shared" si="12"/>
        <v>21174.989999999998</v>
      </c>
      <c r="H20" s="305">
        <f t="shared" si="12"/>
        <v>22993.17</v>
      </c>
      <c r="I20" s="305">
        <f t="shared" si="12"/>
        <v>22993.17</v>
      </c>
      <c r="J20" s="305">
        <f t="shared" si="12"/>
        <v>22993.17</v>
      </c>
      <c r="K20" s="305">
        <f t="shared" si="12"/>
        <v>22993.17</v>
      </c>
      <c r="L20" s="305">
        <f t="shared" si="12"/>
        <v>22993.17</v>
      </c>
      <c r="M20" s="305">
        <f t="shared" si="12"/>
        <v>22993.17</v>
      </c>
      <c r="N20" s="305">
        <f t="shared" si="12"/>
        <v>22993.17</v>
      </c>
      <c r="O20" s="305">
        <f t="shared" si="12"/>
        <v>22993.17</v>
      </c>
      <c r="P20" s="305">
        <f t="shared" si="12"/>
        <v>22278.46</v>
      </c>
      <c r="Q20" s="305">
        <f t="shared" si="12"/>
        <v>1975595.15</v>
      </c>
    </row>
    <row r="21" spans="1:21" s="317" customFormat="1" x14ac:dyDescent="0.25">
      <c r="B21" s="320"/>
      <c r="D21" s="323" t="s">
        <v>1352</v>
      </c>
      <c r="E21" s="322">
        <f t="shared" ref="E21:P21" si="13">E106</f>
        <v>11493.17</v>
      </c>
      <c r="F21" s="322">
        <f t="shared" si="13"/>
        <v>11493.17</v>
      </c>
      <c r="G21" s="322">
        <f t="shared" si="13"/>
        <v>11493.17</v>
      </c>
      <c r="H21" s="322">
        <f t="shared" si="13"/>
        <v>11493.17</v>
      </c>
      <c r="I21" s="322">
        <f t="shared" si="13"/>
        <v>11493.17</v>
      </c>
      <c r="J21" s="322">
        <f t="shared" si="13"/>
        <v>11493.17</v>
      </c>
      <c r="K21" s="322">
        <f t="shared" si="13"/>
        <v>11493.17</v>
      </c>
      <c r="L21" s="322">
        <f t="shared" si="13"/>
        <v>11493.17</v>
      </c>
      <c r="M21" s="322">
        <f t="shared" si="13"/>
        <v>11493.17</v>
      </c>
      <c r="N21" s="322">
        <f t="shared" si="13"/>
        <v>11493.17</v>
      </c>
      <c r="O21" s="322">
        <f t="shared" si="13"/>
        <v>11493.17</v>
      </c>
      <c r="P21" s="322">
        <f t="shared" si="13"/>
        <v>10778.46</v>
      </c>
      <c r="Q21" s="321">
        <f>SUM(E21:P21)</f>
        <v>137203.32999999999</v>
      </c>
    </row>
    <row r="22" spans="1:21" s="317" customFormat="1" x14ac:dyDescent="0.25">
      <c r="B22" s="320"/>
      <c r="D22" s="323" t="s">
        <v>1351</v>
      </c>
      <c r="E22" s="322"/>
      <c r="F22" s="322"/>
      <c r="G22" s="322">
        <v>8181.82</v>
      </c>
      <c r="H22" s="322">
        <v>10000</v>
      </c>
      <c r="I22" s="322">
        <v>10000</v>
      </c>
      <c r="J22" s="322">
        <v>10000</v>
      </c>
      <c r="K22" s="322">
        <v>10000</v>
      </c>
      <c r="L22" s="322">
        <v>10000</v>
      </c>
      <c r="M22" s="322">
        <v>10000</v>
      </c>
      <c r="N22" s="322">
        <v>10000</v>
      </c>
      <c r="O22" s="322">
        <v>10000</v>
      </c>
      <c r="P22" s="322">
        <v>10000</v>
      </c>
      <c r="Q22" s="321">
        <f>SUM(E22:P22)</f>
        <v>98181.82</v>
      </c>
    </row>
    <row r="23" spans="1:21" s="317" customFormat="1" x14ac:dyDescent="0.25">
      <c r="B23" s="320"/>
      <c r="D23" s="323" t="s">
        <v>1350</v>
      </c>
      <c r="E23" s="322">
        <f t="shared" ref="E23:P23" si="14">18000/12</f>
        <v>1500</v>
      </c>
      <c r="F23" s="322">
        <f t="shared" si="14"/>
        <v>1500</v>
      </c>
      <c r="G23" s="322">
        <f t="shared" si="14"/>
        <v>1500</v>
      </c>
      <c r="H23" s="322">
        <f t="shared" si="14"/>
        <v>1500</v>
      </c>
      <c r="I23" s="322">
        <f t="shared" si="14"/>
        <v>1500</v>
      </c>
      <c r="J23" s="322">
        <f t="shared" si="14"/>
        <v>1500</v>
      </c>
      <c r="K23" s="322">
        <f t="shared" si="14"/>
        <v>1500</v>
      </c>
      <c r="L23" s="322">
        <f t="shared" si="14"/>
        <v>1500</v>
      </c>
      <c r="M23" s="322">
        <f t="shared" si="14"/>
        <v>1500</v>
      </c>
      <c r="N23" s="322">
        <f t="shared" si="14"/>
        <v>1500</v>
      </c>
      <c r="O23" s="322">
        <f t="shared" si="14"/>
        <v>1500</v>
      </c>
      <c r="P23" s="322">
        <f t="shared" si="14"/>
        <v>1500</v>
      </c>
      <c r="Q23" s="321">
        <f>SUM(E23:P23)</f>
        <v>18000</v>
      </c>
    </row>
    <row r="24" spans="1:21" s="317" customFormat="1" x14ac:dyDescent="0.25">
      <c r="B24" s="320"/>
      <c r="D24" s="323" t="s">
        <v>1349</v>
      </c>
      <c r="E24" s="322">
        <v>1722210</v>
      </c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1">
        <f>SUM(E24:P24)</f>
        <v>1722210</v>
      </c>
    </row>
    <row r="25" spans="1:21" s="317" customFormat="1" x14ac:dyDescent="0.25">
      <c r="B25" s="320"/>
      <c r="D25" s="319"/>
      <c r="E25" s="318"/>
      <c r="F25" s="318"/>
      <c r="G25" s="318"/>
      <c r="H25" s="318"/>
      <c r="I25" s="318"/>
      <c r="J25" s="318"/>
      <c r="K25" s="318"/>
      <c r="L25" s="318"/>
      <c r="M25" s="318"/>
      <c r="N25" s="318"/>
      <c r="O25" s="318"/>
      <c r="P25" s="318"/>
      <c r="Q25" s="318"/>
    </row>
    <row r="26" spans="1:21" s="317" customFormat="1" x14ac:dyDescent="0.25">
      <c r="B26" s="320"/>
      <c r="D26" s="319"/>
      <c r="E26" s="318"/>
      <c r="F26" s="318"/>
      <c r="G26" s="318"/>
      <c r="H26" s="318"/>
      <c r="I26" s="318"/>
      <c r="J26" s="318"/>
      <c r="K26" s="318"/>
      <c r="L26" s="318"/>
      <c r="M26" s="318"/>
      <c r="N26" s="318"/>
      <c r="O26" s="318"/>
      <c r="P26" s="318"/>
      <c r="Q26" s="318"/>
    </row>
    <row r="27" spans="1:21" s="311" customFormat="1" ht="28.5" customHeight="1" x14ac:dyDescent="0.25">
      <c r="A27" s="316"/>
      <c r="C27" s="316"/>
      <c r="D27" s="315" t="s">
        <v>1348</v>
      </c>
      <c r="E27" s="314">
        <f t="shared" ref="E27:P27" si="15">E35+E43</f>
        <v>70115.868543999983</v>
      </c>
      <c r="F27" s="314">
        <f t="shared" si="15"/>
        <v>71588.208667999992</v>
      </c>
      <c r="G27" s="314">
        <f t="shared" si="15"/>
        <v>66120.482279999997</v>
      </c>
      <c r="H27" s="314">
        <f t="shared" si="15"/>
        <v>65438.872803999999</v>
      </c>
      <c r="I27" s="314">
        <f t="shared" si="15"/>
        <v>49330.691131999993</v>
      </c>
      <c r="J27" s="314">
        <f t="shared" si="15"/>
        <v>22477.378651999999</v>
      </c>
      <c r="K27" s="314">
        <f t="shared" si="15"/>
        <v>18465.340776000001</v>
      </c>
      <c r="L27" s="314">
        <f t="shared" si="15"/>
        <v>23988.784091999998</v>
      </c>
      <c r="M27" s="314">
        <f t="shared" si="15"/>
        <v>34564.689804000001</v>
      </c>
      <c r="N27" s="314">
        <f t="shared" si="15"/>
        <v>49529.971659999996</v>
      </c>
      <c r="O27" s="314">
        <f t="shared" si="15"/>
        <v>59884.007775999999</v>
      </c>
      <c r="P27" s="314">
        <f t="shared" si="15"/>
        <v>71385.184800000003</v>
      </c>
      <c r="Q27" s="314">
        <f t="shared" ref="Q27:Q34" si="16">SUM(E27:P27)</f>
        <v>602889.48098799994</v>
      </c>
      <c r="S27" s="313"/>
      <c r="T27" s="312" t="s">
        <v>1347</v>
      </c>
      <c r="U27" s="312" t="s">
        <v>1346</v>
      </c>
    </row>
    <row r="28" spans="1:21" x14ac:dyDescent="0.25">
      <c r="A28" s="281"/>
      <c r="C28" s="281"/>
      <c r="D28" s="303" t="s">
        <v>1340</v>
      </c>
      <c r="E28" s="265">
        <f t="shared" ref="E28:P28" si="17">E36+E44</f>
        <v>46709.607959999994</v>
      </c>
      <c r="F28" s="265">
        <f t="shared" si="17"/>
        <v>45020.971959999995</v>
      </c>
      <c r="G28" s="265">
        <f t="shared" si="17"/>
        <v>36653.926631999995</v>
      </c>
      <c r="H28" s="265">
        <f t="shared" si="17"/>
        <v>35994.205488</v>
      </c>
      <c r="I28" s="265">
        <f t="shared" si="17"/>
        <v>27960.468143999999</v>
      </c>
      <c r="J28" s="265">
        <f t="shared" si="17"/>
        <v>0</v>
      </c>
      <c r="K28" s="265">
        <f t="shared" si="17"/>
        <v>0</v>
      </c>
      <c r="L28" s="265">
        <f t="shared" si="17"/>
        <v>0</v>
      </c>
      <c r="M28" s="265">
        <f t="shared" si="17"/>
        <v>13541.170511999999</v>
      </c>
      <c r="N28" s="265">
        <f t="shared" si="17"/>
        <v>27046.315295999997</v>
      </c>
      <c r="O28" s="265">
        <f t="shared" si="17"/>
        <v>37000.674263999994</v>
      </c>
      <c r="P28" s="265">
        <f t="shared" si="17"/>
        <v>46081.41</v>
      </c>
      <c r="Q28" s="302">
        <f t="shared" si="16"/>
        <v>316008.75025599997</v>
      </c>
      <c r="R28" s="301">
        <f>Q28+Q29</f>
        <v>337820.13387599995</v>
      </c>
      <c r="S28" s="310" t="s">
        <v>1345</v>
      </c>
      <c r="T28" s="309">
        <f>407846.18-70026.05</f>
        <v>337820.13</v>
      </c>
      <c r="U28" s="308">
        <f>T28-R28</f>
        <v>-3.8759999442845583E-3</v>
      </c>
    </row>
    <row r="29" spans="1:21" x14ac:dyDescent="0.25">
      <c r="A29" s="281"/>
      <c r="C29" s="281"/>
      <c r="D29" s="303" t="s">
        <v>1339</v>
      </c>
      <c r="E29" s="265">
        <f t="shared" ref="E29:P29" si="18">E37+E45</f>
        <v>1987.3595279999997</v>
      </c>
      <c r="F29" s="265">
        <f t="shared" si="18"/>
        <v>2107.3057079999999</v>
      </c>
      <c r="G29" s="265">
        <f t="shared" si="18"/>
        <v>3716.5254239999995</v>
      </c>
      <c r="H29" s="265">
        <f t="shared" si="18"/>
        <v>3944.6203319999995</v>
      </c>
      <c r="I29" s="265">
        <f t="shared" si="18"/>
        <v>1141.4184359999999</v>
      </c>
      <c r="J29" s="265">
        <f t="shared" si="18"/>
        <v>988.22225999999989</v>
      </c>
      <c r="K29" s="265">
        <f t="shared" si="18"/>
        <v>971.7304079999999</v>
      </c>
      <c r="L29" s="265">
        <f t="shared" si="18"/>
        <v>1323.0268199999998</v>
      </c>
      <c r="M29" s="265">
        <f t="shared" si="18"/>
        <v>1141.4730599999998</v>
      </c>
      <c r="N29" s="265">
        <f t="shared" si="18"/>
        <v>1551.6065159999996</v>
      </c>
      <c r="O29" s="265">
        <f t="shared" si="18"/>
        <v>1516.2551279999998</v>
      </c>
      <c r="P29" s="265">
        <f t="shared" si="18"/>
        <v>1421.84</v>
      </c>
      <c r="Q29" s="302">
        <f t="shared" si="16"/>
        <v>21811.383619999997</v>
      </c>
      <c r="S29" s="310"/>
      <c r="T29" s="309"/>
      <c r="U29" s="310"/>
    </row>
    <row r="30" spans="1:21" x14ac:dyDescent="0.25">
      <c r="A30" s="281"/>
      <c r="C30" s="281"/>
      <c r="D30" s="303" t="s">
        <v>1338</v>
      </c>
      <c r="E30" s="265">
        <f t="shared" ref="E30:P30" si="19">E38+E46</f>
        <v>676.25563999999997</v>
      </c>
      <c r="F30" s="265">
        <f t="shared" si="19"/>
        <v>929.10088800000005</v>
      </c>
      <c r="G30" s="265">
        <f t="shared" si="19"/>
        <v>2641.3984879999998</v>
      </c>
      <c r="H30" s="265">
        <f t="shared" si="19"/>
        <v>2364.1191199999998</v>
      </c>
      <c r="I30" s="265">
        <f t="shared" si="19"/>
        <v>299.06831199999999</v>
      </c>
      <c r="J30" s="265">
        <f t="shared" si="19"/>
        <v>390.597936</v>
      </c>
      <c r="K30" s="265">
        <f t="shared" si="19"/>
        <v>326.65322399999997</v>
      </c>
      <c r="L30" s="265">
        <f t="shared" si="19"/>
        <v>387.46340000000004</v>
      </c>
      <c r="M30" s="265">
        <f t="shared" si="19"/>
        <v>391.835376</v>
      </c>
      <c r="N30" s="265">
        <f t="shared" si="19"/>
        <v>480.85918399999997</v>
      </c>
      <c r="O30" s="265">
        <f t="shared" si="19"/>
        <v>439.43588</v>
      </c>
      <c r="P30" s="265">
        <f t="shared" si="19"/>
        <v>457.99480000000005</v>
      </c>
      <c r="Q30" s="302">
        <f t="shared" si="16"/>
        <v>9784.7822480000032</v>
      </c>
      <c r="R30" s="301">
        <f>Q30+Q31+Q32</f>
        <v>23578.597112000003</v>
      </c>
      <c r="S30" s="310" t="s">
        <v>1344</v>
      </c>
      <c r="T30" s="309">
        <f>28777.29-5198.69</f>
        <v>23578.600000000002</v>
      </c>
      <c r="U30" s="308">
        <f>T30-R30</f>
        <v>2.8879999990749639E-3</v>
      </c>
    </row>
    <row r="31" spans="1:21" x14ac:dyDescent="0.25">
      <c r="A31" s="281"/>
      <c r="C31" s="281"/>
      <c r="D31" s="303" t="s">
        <v>1315</v>
      </c>
      <c r="E31" s="265">
        <f t="shared" ref="E31:P31" si="20">E39+E47</f>
        <v>695.18541599999992</v>
      </c>
      <c r="F31" s="265">
        <f t="shared" si="20"/>
        <v>874.31011199999989</v>
      </c>
      <c r="G31" s="265">
        <f t="shared" si="20"/>
        <v>2189.5317359999999</v>
      </c>
      <c r="H31" s="265">
        <f t="shared" si="20"/>
        <v>2037.9878639999997</v>
      </c>
      <c r="I31" s="265">
        <f t="shared" si="20"/>
        <v>346.11623999999995</v>
      </c>
      <c r="J31" s="265">
        <f t="shared" si="20"/>
        <v>385.42845599999993</v>
      </c>
      <c r="K31" s="265">
        <f t="shared" si="20"/>
        <v>341.75714399999993</v>
      </c>
      <c r="L31" s="265">
        <f t="shared" si="20"/>
        <v>427.75387199999994</v>
      </c>
      <c r="M31" s="265">
        <f t="shared" si="20"/>
        <v>406.52085599999998</v>
      </c>
      <c r="N31" s="265">
        <f t="shared" si="20"/>
        <v>518.33066399999996</v>
      </c>
      <c r="O31" s="265">
        <f t="shared" si="20"/>
        <v>486.79250399999995</v>
      </c>
      <c r="P31" s="265">
        <f t="shared" si="20"/>
        <v>486.03000000000003</v>
      </c>
      <c r="Q31" s="302">
        <f t="shared" si="16"/>
        <v>9195.7448639999984</v>
      </c>
      <c r="S31" s="310"/>
      <c r="T31" s="309"/>
      <c r="U31" s="310"/>
    </row>
    <row r="32" spans="1:21" x14ac:dyDescent="0.25">
      <c r="A32" s="281"/>
      <c r="C32" s="281"/>
      <c r="D32" s="303" t="s">
        <v>1314</v>
      </c>
      <c r="E32" s="265">
        <f t="shared" ref="E32:P32" si="21">E40+E48</f>
        <v>80.5</v>
      </c>
      <c r="F32" s="265">
        <f t="shared" si="21"/>
        <v>704.4</v>
      </c>
      <c r="G32" s="265">
        <f t="shared" si="21"/>
        <v>1094.78</v>
      </c>
      <c r="H32" s="265">
        <f t="shared" si="21"/>
        <v>1019</v>
      </c>
      <c r="I32" s="265">
        <f t="shared" si="21"/>
        <v>173.06</v>
      </c>
      <c r="J32" s="265">
        <f t="shared" si="21"/>
        <v>192.72</v>
      </c>
      <c r="K32" s="265">
        <f t="shared" si="21"/>
        <v>170.88</v>
      </c>
      <c r="L32" s="265">
        <f t="shared" si="21"/>
        <v>213.88</v>
      </c>
      <c r="M32" s="265">
        <f t="shared" si="21"/>
        <v>203.26999999999998</v>
      </c>
      <c r="N32" s="265">
        <f t="shared" si="21"/>
        <v>259.17</v>
      </c>
      <c r="O32" s="265">
        <f t="shared" si="21"/>
        <v>243.4</v>
      </c>
      <c r="P32" s="265">
        <f t="shared" si="21"/>
        <v>243.01</v>
      </c>
      <c r="Q32" s="302">
        <f t="shared" si="16"/>
        <v>4598.07</v>
      </c>
      <c r="S32" s="310"/>
      <c r="T32" s="309"/>
      <c r="U32" s="310"/>
    </row>
    <row r="33" spans="1:21" x14ac:dyDescent="0.25">
      <c r="A33" s="281"/>
      <c r="C33" s="281"/>
      <c r="D33" s="303" t="s">
        <v>1337</v>
      </c>
      <c r="E33" s="265">
        <f t="shared" ref="E33:P33" si="22">E41+E49</f>
        <v>3240.64</v>
      </c>
      <c r="F33" s="265">
        <f t="shared" si="22"/>
        <v>3240.64</v>
      </c>
      <c r="G33" s="265">
        <f t="shared" si="22"/>
        <v>9043.26</v>
      </c>
      <c r="H33" s="265">
        <f t="shared" si="22"/>
        <v>9043.26</v>
      </c>
      <c r="I33" s="265">
        <f t="shared" si="22"/>
        <v>9043.26</v>
      </c>
      <c r="J33" s="265">
        <f t="shared" si="22"/>
        <v>9043.26</v>
      </c>
      <c r="K33" s="265">
        <f t="shared" si="22"/>
        <v>9043.26</v>
      </c>
      <c r="L33" s="265">
        <f t="shared" si="22"/>
        <v>9043.26</v>
      </c>
      <c r="M33" s="265">
        <f t="shared" si="22"/>
        <v>9043.26</v>
      </c>
      <c r="N33" s="265">
        <f t="shared" si="22"/>
        <v>9043.26</v>
      </c>
      <c r="O33" s="265">
        <f t="shared" si="22"/>
        <v>9043.26</v>
      </c>
      <c r="P33" s="265">
        <f t="shared" si="22"/>
        <v>9043.26</v>
      </c>
      <c r="Q33" s="302">
        <f t="shared" si="16"/>
        <v>96913.87999999999</v>
      </c>
      <c r="R33" s="301">
        <f>Q33</f>
        <v>96913.87999999999</v>
      </c>
      <c r="S33" s="310" t="s">
        <v>1343</v>
      </c>
      <c r="T33" s="309"/>
      <c r="U33" s="308">
        <f>T33-R33</f>
        <v>-96913.87999999999</v>
      </c>
    </row>
    <row r="34" spans="1:21" x14ac:dyDescent="0.25">
      <c r="A34" s="281"/>
      <c r="C34" s="281"/>
      <c r="D34" s="303" t="s">
        <v>1336</v>
      </c>
      <c r="E34" s="265">
        <f t="shared" ref="E34:P34" si="23">E42+E50</f>
        <v>16726.32</v>
      </c>
      <c r="F34" s="265">
        <f t="shared" si="23"/>
        <v>18711.48</v>
      </c>
      <c r="G34" s="265">
        <f t="shared" si="23"/>
        <v>10781.06</v>
      </c>
      <c r="H34" s="265">
        <f t="shared" si="23"/>
        <v>11035.68</v>
      </c>
      <c r="I34" s="265">
        <f t="shared" si="23"/>
        <v>10367.299999999999</v>
      </c>
      <c r="J34" s="265">
        <f t="shared" si="23"/>
        <v>11477.15</v>
      </c>
      <c r="K34" s="265">
        <f t="shared" si="23"/>
        <v>7611.06</v>
      </c>
      <c r="L34" s="265">
        <f t="shared" si="23"/>
        <v>12593.4</v>
      </c>
      <c r="M34" s="265">
        <f t="shared" si="23"/>
        <v>9837.16</v>
      </c>
      <c r="N34" s="265">
        <f t="shared" si="23"/>
        <v>10630.43</v>
      </c>
      <c r="O34" s="265">
        <f t="shared" si="23"/>
        <v>11154.19</v>
      </c>
      <c r="P34" s="265">
        <f t="shared" si="23"/>
        <v>13651.64</v>
      </c>
      <c r="Q34" s="302">
        <f t="shared" si="16"/>
        <v>144576.87</v>
      </c>
      <c r="R34" s="301">
        <f>Q34</f>
        <v>144576.87</v>
      </c>
      <c r="S34" s="310" t="s">
        <v>1308</v>
      </c>
      <c r="T34" s="309">
        <v>144576.87</v>
      </c>
      <c r="U34" s="308">
        <f>T34-R34</f>
        <v>0</v>
      </c>
    </row>
    <row r="35" spans="1:21" s="304" customFormat="1" ht="23.25" customHeight="1" x14ac:dyDescent="0.25">
      <c r="A35" s="307"/>
      <c r="C35" s="307"/>
      <c r="D35" s="306" t="s">
        <v>1342</v>
      </c>
      <c r="E35" s="305">
        <f t="shared" ref="E35:Q35" si="24">SUM(E36:E42)</f>
        <v>68966.843487999984</v>
      </c>
      <c r="F35" s="305">
        <f t="shared" si="24"/>
        <v>45450.314359999997</v>
      </c>
      <c r="G35" s="305">
        <f t="shared" si="24"/>
        <v>32617.249359999994</v>
      </c>
      <c r="H35" s="305">
        <f t="shared" si="24"/>
        <v>30684.227407999999</v>
      </c>
      <c r="I35" s="305">
        <f t="shared" si="24"/>
        <v>28889.227559999996</v>
      </c>
      <c r="J35" s="305">
        <f t="shared" si="24"/>
        <v>16440.108648000001</v>
      </c>
      <c r="K35" s="305">
        <f t="shared" si="24"/>
        <v>12501.154648</v>
      </c>
      <c r="L35" s="305">
        <f t="shared" si="24"/>
        <v>17917.294864</v>
      </c>
      <c r="M35" s="305">
        <f t="shared" si="24"/>
        <v>28522.858071999999</v>
      </c>
      <c r="N35" s="305">
        <f t="shared" si="24"/>
        <v>29813.852287999998</v>
      </c>
      <c r="O35" s="305">
        <f t="shared" si="24"/>
        <v>30118.808984000003</v>
      </c>
      <c r="P35" s="305">
        <f t="shared" si="24"/>
        <v>32544.774799999999</v>
      </c>
      <c r="Q35" s="305">
        <f t="shared" si="24"/>
        <v>374466.71447999997</v>
      </c>
    </row>
    <row r="36" spans="1:21" x14ac:dyDescent="0.25">
      <c r="A36" s="281"/>
      <c r="C36" s="281"/>
      <c r="D36" s="303" t="s">
        <v>1340</v>
      </c>
      <c r="E36" s="265">
        <f t="shared" ref="E36:P36" si="25">E63</f>
        <v>46709.607959999994</v>
      </c>
      <c r="F36" s="265">
        <f t="shared" si="25"/>
        <v>20264.541999999998</v>
      </c>
      <c r="G36" s="265">
        <f t="shared" si="25"/>
        <v>13509.647999999997</v>
      </c>
      <c r="H36" s="265">
        <f t="shared" si="25"/>
        <v>11258.039999999999</v>
      </c>
      <c r="I36" s="265">
        <f t="shared" si="25"/>
        <v>13509.647999999997</v>
      </c>
      <c r="J36" s="265">
        <f t="shared" si="25"/>
        <v>0</v>
      </c>
      <c r="K36" s="265">
        <f t="shared" si="25"/>
        <v>0</v>
      </c>
      <c r="L36" s="265">
        <f t="shared" si="25"/>
        <v>0</v>
      </c>
      <c r="M36" s="265">
        <f t="shared" si="25"/>
        <v>13541.170511999999</v>
      </c>
      <c r="N36" s="265">
        <f t="shared" si="25"/>
        <v>13541.170511999999</v>
      </c>
      <c r="O36" s="265">
        <f t="shared" si="25"/>
        <v>13541.170511999999</v>
      </c>
      <c r="P36" s="265">
        <f t="shared" si="25"/>
        <v>13541.17</v>
      </c>
      <c r="Q36" s="302">
        <f t="shared" ref="Q36:Q42" si="26">SUM(E36:P36)</f>
        <v>159416.16749600001</v>
      </c>
    </row>
    <row r="37" spans="1:21" x14ac:dyDescent="0.25">
      <c r="A37" s="281"/>
      <c r="C37" s="281"/>
      <c r="D37" s="303" t="s">
        <v>1339</v>
      </c>
      <c r="E37" s="265">
        <f t="shared" ref="E37:P37" si="27">E59+E67</f>
        <v>1987.3595279999997</v>
      </c>
      <c r="F37" s="265">
        <f t="shared" si="27"/>
        <v>1858.3083599999998</v>
      </c>
      <c r="G37" s="265">
        <f t="shared" si="27"/>
        <v>3320.1873599999994</v>
      </c>
      <c r="H37" s="265">
        <f t="shared" si="27"/>
        <v>3459.9334079999994</v>
      </c>
      <c r="I37" s="265">
        <f t="shared" si="27"/>
        <v>1049.7615599999999</v>
      </c>
      <c r="J37" s="265">
        <f t="shared" si="27"/>
        <v>898.83064799999988</v>
      </c>
      <c r="K37" s="265">
        <f t="shared" si="27"/>
        <v>898.83064799999988</v>
      </c>
      <c r="L37" s="265">
        <f t="shared" si="27"/>
        <v>1198.4408639999999</v>
      </c>
      <c r="M37" s="265">
        <f t="shared" si="27"/>
        <v>1049.7615599999999</v>
      </c>
      <c r="N37" s="265">
        <f t="shared" si="27"/>
        <v>1349.3717759999997</v>
      </c>
      <c r="O37" s="265">
        <f t="shared" si="27"/>
        <v>1318.7352719999999</v>
      </c>
      <c r="P37" s="265">
        <f t="shared" si="27"/>
        <v>1229.08</v>
      </c>
      <c r="Q37" s="302">
        <f t="shared" si="26"/>
        <v>19618.600983999997</v>
      </c>
    </row>
    <row r="38" spans="1:21" x14ac:dyDescent="0.25">
      <c r="A38" s="281"/>
      <c r="C38" s="281"/>
      <c r="D38" s="303" t="s">
        <v>1338</v>
      </c>
      <c r="E38" s="265">
        <f t="shared" ref="E38:P38" si="28">E77</f>
        <v>61.712000000000003</v>
      </c>
      <c r="F38" s="265">
        <f t="shared" si="28"/>
        <v>309.36</v>
      </c>
      <c r="G38" s="265">
        <f t="shared" si="28"/>
        <v>309.35000000000002</v>
      </c>
      <c r="H38" s="265">
        <f t="shared" si="28"/>
        <v>309.35000000000002</v>
      </c>
      <c r="I38" s="265">
        <f t="shared" si="28"/>
        <v>247.49799999999999</v>
      </c>
      <c r="J38" s="265">
        <f t="shared" si="28"/>
        <v>309.36</v>
      </c>
      <c r="K38" s="265">
        <f t="shared" si="28"/>
        <v>278.42399999999998</v>
      </c>
      <c r="L38" s="265">
        <f t="shared" si="28"/>
        <v>309.35000000000002</v>
      </c>
      <c r="M38" s="265">
        <f t="shared" si="28"/>
        <v>309.36</v>
      </c>
      <c r="N38" s="265">
        <f t="shared" si="28"/>
        <v>371.22199999999998</v>
      </c>
      <c r="O38" s="265">
        <f t="shared" si="28"/>
        <v>269.13319999999999</v>
      </c>
      <c r="P38" s="265">
        <f t="shared" si="28"/>
        <v>287.69480000000004</v>
      </c>
      <c r="Q38" s="302">
        <f t="shared" si="26"/>
        <v>3371.8140000000003</v>
      </c>
    </row>
    <row r="39" spans="1:21" x14ac:dyDescent="0.25">
      <c r="A39" s="281"/>
      <c r="C39" s="281"/>
      <c r="D39" s="303" t="s">
        <v>1315</v>
      </c>
      <c r="E39" s="265">
        <f t="shared" ref="E39:P39" si="29">E81</f>
        <v>160.70399999999998</v>
      </c>
      <c r="F39" s="265">
        <f t="shared" si="29"/>
        <v>361.58399999999995</v>
      </c>
      <c r="G39" s="265">
        <f t="shared" si="29"/>
        <v>361.58399999999995</v>
      </c>
      <c r="H39" s="265">
        <f t="shared" si="29"/>
        <v>361.58399999999995</v>
      </c>
      <c r="I39" s="265">
        <f t="shared" si="29"/>
        <v>301.31999999999994</v>
      </c>
      <c r="J39" s="265">
        <f t="shared" si="29"/>
        <v>321.40799999999996</v>
      </c>
      <c r="K39" s="265">
        <f t="shared" si="29"/>
        <v>301.31999999999994</v>
      </c>
      <c r="L39" s="265">
        <f t="shared" si="29"/>
        <v>361.58399999999995</v>
      </c>
      <c r="M39" s="265">
        <f t="shared" si="29"/>
        <v>341.49599999999998</v>
      </c>
      <c r="N39" s="265">
        <f t="shared" si="29"/>
        <v>421.84799999999996</v>
      </c>
      <c r="O39" s="265">
        <f t="shared" si="29"/>
        <v>351.53999999999996</v>
      </c>
      <c r="P39" s="265">
        <f t="shared" si="29"/>
        <v>351.54</v>
      </c>
      <c r="Q39" s="302">
        <f t="shared" si="26"/>
        <v>3997.5119999999993</v>
      </c>
    </row>
    <row r="40" spans="1:21" x14ac:dyDescent="0.25">
      <c r="A40" s="281"/>
      <c r="C40" s="281"/>
      <c r="D40" s="303" t="s">
        <v>1314</v>
      </c>
      <c r="E40" s="265">
        <f t="shared" ref="E40:P40" si="30">E85</f>
        <v>80.5</v>
      </c>
      <c r="F40" s="265">
        <f t="shared" si="30"/>
        <v>704.4</v>
      </c>
      <c r="G40" s="265">
        <f t="shared" si="30"/>
        <v>1094.78</v>
      </c>
      <c r="H40" s="265">
        <f t="shared" si="30"/>
        <v>1019</v>
      </c>
      <c r="I40" s="265">
        <f t="shared" si="30"/>
        <v>173.06</v>
      </c>
      <c r="J40" s="265">
        <f t="shared" si="30"/>
        <v>192.72</v>
      </c>
      <c r="K40" s="265">
        <f t="shared" si="30"/>
        <v>170.88</v>
      </c>
      <c r="L40" s="265">
        <f t="shared" si="30"/>
        <v>213.88</v>
      </c>
      <c r="M40" s="265">
        <f t="shared" si="30"/>
        <v>203.26999999999998</v>
      </c>
      <c r="N40" s="265">
        <f t="shared" si="30"/>
        <v>259.17</v>
      </c>
      <c r="O40" s="265">
        <f t="shared" si="30"/>
        <v>243.4</v>
      </c>
      <c r="P40" s="265">
        <f t="shared" si="30"/>
        <v>243.01</v>
      </c>
      <c r="Q40" s="302">
        <f t="shared" si="26"/>
        <v>4598.07</v>
      </c>
    </row>
    <row r="41" spans="1:21" x14ac:dyDescent="0.25">
      <c r="A41" s="281"/>
      <c r="C41" s="281"/>
      <c r="D41" s="303" t="s">
        <v>1337</v>
      </c>
      <c r="E41" s="265">
        <f t="shared" ref="E41:P41" si="31">E94</f>
        <v>3240.64</v>
      </c>
      <c r="F41" s="265">
        <f t="shared" si="31"/>
        <v>3240.64</v>
      </c>
      <c r="G41" s="265">
        <f t="shared" si="31"/>
        <v>3240.64</v>
      </c>
      <c r="H41" s="265">
        <f t="shared" si="31"/>
        <v>3240.64</v>
      </c>
      <c r="I41" s="265">
        <f t="shared" si="31"/>
        <v>3240.64</v>
      </c>
      <c r="J41" s="265">
        <f t="shared" si="31"/>
        <v>3240.64</v>
      </c>
      <c r="K41" s="265">
        <f t="shared" si="31"/>
        <v>3240.64</v>
      </c>
      <c r="L41" s="265">
        <f t="shared" si="31"/>
        <v>3240.64</v>
      </c>
      <c r="M41" s="265">
        <f t="shared" si="31"/>
        <v>3240.64</v>
      </c>
      <c r="N41" s="265">
        <f t="shared" si="31"/>
        <v>3240.64</v>
      </c>
      <c r="O41" s="265">
        <f t="shared" si="31"/>
        <v>3240.64</v>
      </c>
      <c r="P41" s="265">
        <f t="shared" si="31"/>
        <v>3240.64</v>
      </c>
      <c r="Q41" s="302">
        <f t="shared" si="26"/>
        <v>38887.68</v>
      </c>
    </row>
    <row r="42" spans="1:21" x14ac:dyDescent="0.25">
      <c r="A42" s="281"/>
      <c r="C42" s="281"/>
      <c r="D42" s="303" t="s">
        <v>1336</v>
      </c>
      <c r="E42" s="265">
        <f t="shared" ref="E42:P42" si="32">E99</f>
        <v>16726.32</v>
      </c>
      <c r="F42" s="265">
        <f t="shared" si="32"/>
        <v>18711.48</v>
      </c>
      <c r="G42" s="265">
        <f t="shared" si="32"/>
        <v>10781.06</v>
      </c>
      <c r="H42" s="265">
        <f t="shared" si="32"/>
        <v>11035.68</v>
      </c>
      <c r="I42" s="265">
        <f t="shared" si="32"/>
        <v>10367.299999999999</v>
      </c>
      <c r="J42" s="265">
        <f t="shared" si="32"/>
        <v>11477.15</v>
      </c>
      <c r="K42" s="265">
        <f t="shared" si="32"/>
        <v>7611.06</v>
      </c>
      <c r="L42" s="265">
        <f t="shared" si="32"/>
        <v>12593.4</v>
      </c>
      <c r="M42" s="265">
        <f t="shared" si="32"/>
        <v>9837.16</v>
      </c>
      <c r="N42" s="265">
        <f t="shared" si="32"/>
        <v>10630.43</v>
      </c>
      <c r="O42" s="265">
        <f t="shared" si="32"/>
        <v>11154.19</v>
      </c>
      <c r="P42" s="265">
        <f t="shared" si="32"/>
        <v>13651.64</v>
      </c>
      <c r="Q42" s="302">
        <f t="shared" si="26"/>
        <v>144576.87</v>
      </c>
    </row>
    <row r="43" spans="1:21" s="304" customFormat="1" ht="24" customHeight="1" x14ac:dyDescent="0.25">
      <c r="A43" s="307"/>
      <c r="C43" s="307"/>
      <c r="D43" s="306" t="s">
        <v>1341</v>
      </c>
      <c r="E43" s="305">
        <f t="shared" ref="E43:Q43" si="33">SUM(E44:E50)</f>
        <v>1149.0250559999999</v>
      </c>
      <c r="F43" s="305">
        <f t="shared" si="33"/>
        <v>26137.894307999995</v>
      </c>
      <c r="G43" s="305">
        <f t="shared" si="33"/>
        <v>33503.232919999995</v>
      </c>
      <c r="H43" s="305">
        <f t="shared" si="33"/>
        <v>34754.645396</v>
      </c>
      <c r="I43" s="305">
        <f t="shared" si="33"/>
        <v>20441.463571999997</v>
      </c>
      <c r="J43" s="305">
        <f t="shared" si="33"/>
        <v>6037.270004</v>
      </c>
      <c r="K43" s="305">
        <f t="shared" si="33"/>
        <v>5964.1861280000003</v>
      </c>
      <c r="L43" s="305">
        <f t="shared" si="33"/>
        <v>6071.4892279999995</v>
      </c>
      <c r="M43" s="305">
        <f t="shared" si="33"/>
        <v>6041.8317319999996</v>
      </c>
      <c r="N43" s="305">
        <f t="shared" si="33"/>
        <v>19716.119371999997</v>
      </c>
      <c r="O43" s="305">
        <f t="shared" si="33"/>
        <v>29765.198791999996</v>
      </c>
      <c r="P43" s="305">
        <f t="shared" si="33"/>
        <v>38840.410000000003</v>
      </c>
      <c r="Q43" s="305">
        <f t="shared" si="33"/>
        <v>228422.76650799997</v>
      </c>
    </row>
    <row r="44" spans="1:21" x14ac:dyDescent="0.25">
      <c r="A44" s="281"/>
      <c r="C44" s="281"/>
      <c r="D44" s="303" t="s">
        <v>1340</v>
      </c>
      <c r="E44" s="265">
        <f t="shared" ref="E44:P44" si="34">E64</f>
        <v>0</v>
      </c>
      <c r="F44" s="265">
        <f t="shared" si="34"/>
        <v>24756.429959999994</v>
      </c>
      <c r="G44" s="265">
        <f t="shared" si="34"/>
        <v>23144.278631999998</v>
      </c>
      <c r="H44" s="265">
        <f t="shared" si="34"/>
        <v>24736.165487999999</v>
      </c>
      <c r="I44" s="265">
        <f t="shared" si="34"/>
        <v>14450.820143999999</v>
      </c>
      <c r="J44" s="265">
        <f t="shared" si="34"/>
        <v>0</v>
      </c>
      <c r="K44" s="265">
        <f t="shared" si="34"/>
        <v>0</v>
      </c>
      <c r="L44" s="265">
        <f t="shared" si="34"/>
        <v>0</v>
      </c>
      <c r="M44" s="265">
        <f t="shared" si="34"/>
        <v>0</v>
      </c>
      <c r="N44" s="265">
        <f t="shared" si="34"/>
        <v>13505.144783999998</v>
      </c>
      <c r="O44" s="265">
        <f t="shared" si="34"/>
        <v>23459.503751999997</v>
      </c>
      <c r="P44" s="265">
        <f t="shared" si="34"/>
        <v>32540.240000000002</v>
      </c>
      <c r="Q44" s="302">
        <f t="shared" ref="Q44:Q50" si="35">SUM(E44:P44)</f>
        <v>156592.58275999999</v>
      </c>
    </row>
    <row r="45" spans="1:21" x14ac:dyDescent="0.25">
      <c r="A45" s="281"/>
      <c r="C45" s="281"/>
      <c r="D45" s="303" t="s">
        <v>1339</v>
      </c>
      <c r="E45" s="265">
        <f t="shared" ref="E45:P45" si="36">E60+E68</f>
        <v>0</v>
      </c>
      <c r="F45" s="265">
        <f t="shared" si="36"/>
        <v>248.99734799999999</v>
      </c>
      <c r="G45" s="265">
        <f t="shared" si="36"/>
        <v>396.33806399999992</v>
      </c>
      <c r="H45" s="265">
        <f t="shared" si="36"/>
        <v>484.68692399999998</v>
      </c>
      <c r="I45" s="265">
        <f t="shared" si="36"/>
        <v>91.656875999999997</v>
      </c>
      <c r="J45" s="265">
        <f t="shared" si="36"/>
        <v>89.391611999999981</v>
      </c>
      <c r="K45" s="265">
        <f t="shared" si="36"/>
        <v>72.899760000000001</v>
      </c>
      <c r="L45" s="265">
        <f t="shared" si="36"/>
        <v>124.58595599999998</v>
      </c>
      <c r="M45" s="265">
        <f t="shared" si="36"/>
        <v>91.711499999999987</v>
      </c>
      <c r="N45" s="265">
        <f t="shared" si="36"/>
        <v>202.23473999999996</v>
      </c>
      <c r="O45" s="265">
        <f t="shared" si="36"/>
        <v>197.51985599999998</v>
      </c>
      <c r="P45" s="265">
        <f t="shared" si="36"/>
        <v>192.76</v>
      </c>
      <c r="Q45" s="302">
        <f t="shared" si="35"/>
        <v>2192.7826359999995</v>
      </c>
    </row>
    <row r="46" spans="1:21" x14ac:dyDescent="0.25">
      <c r="A46" s="281"/>
      <c r="C46" s="281"/>
      <c r="D46" s="303" t="s">
        <v>1338</v>
      </c>
      <c r="E46" s="265">
        <f t="shared" ref="E46:P46" si="37">E78</f>
        <v>614.54363999999998</v>
      </c>
      <c r="F46" s="265">
        <f t="shared" si="37"/>
        <v>619.74088800000004</v>
      </c>
      <c r="G46" s="265">
        <f t="shared" si="37"/>
        <v>2332.0484879999999</v>
      </c>
      <c r="H46" s="265">
        <f t="shared" si="37"/>
        <v>2054.7691199999999</v>
      </c>
      <c r="I46" s="265">
        <f t="shared" si="37"/>
        <v>51.570312000000001</v>
      </c>
      <c r="J46" s="265">
        <f t="shared" si="37"/>
        <v>81.237935999999991</v>
      </c>
      <c r="K46" s="265">
        <f t="shared" si="37"/>
        <v>48.229223999999995</v>
      </c>
      <c r="L46" s="265">
        <f t="shared" si="37"/>
        <v>78.113399999999999</v>
      </c>
      <c r="M46" s="265">
        <f t="shared" si="37"/>
        <v>82.475375999999997</v>
      </c>
      <c r="N46" s="265">
        <f t="shared" si="37"/>
        <v>109.637184</v>
      </c>
      <c r="O46" s="265">
        <f t="shared" si="37"/>
        <v>170.30268000000001</v>
      </c>
      <c r="P46" s="265">
        <f t="shared" si="37"/>
        <v>170.3</v>
      </c>
      <c r="Q46" s="302">
        <f t="shared" si="35"/>
        <v>6412.9682479999992</v>
      </c>
    </row>
    <row r="47" spans="1:21" x14ac:dyDescent="0.25">
      <c r="A47" s="281"/>
      <c r="C47" s="281"/>
      <c r="D47" s="303" t="s">
        <v>1315</v>
      </c>
      <c r="E47" s="265">
        <f t="shared" ref="E47:P47" si="38">E82</f>
        <v>534.48141599999997</v>
      </c>
      <c r="F47" s="265">
        <f t="shared" si="38"/>
        <v>512.72611199999994</v>
      </c>
      <c r="G47" s="265">
        <f t="shared" si="38"/>
        <v>1827.9477359999998</v>
      </c>
      <c r="H47" s="265">
        <f t="shared" si="38"/>
        <v>1676.4038639999999</v>
      </c>
      <c r="I47" s="265">
        <f t="shared" si="38"/>
        <v>44.796239999999997</v>
      </c>
      <c r="J47" s="265">
        <f t="shared" si="38"/>
        <v>64.020455999999982</v>
      </c>
      <c r="K47" s="265">
        <f t="shared" si="38"/>
        <v>40.437143999999989</v>
      </c>
      <c r="L47" s="265">
        <f t="shared" si="38"/>
        <v>66.169871999999998</v>
      </c>
      <c r="M47" s="265">
        <f t="shared" si="38"/>
        <v>65.024856</v>
      </c>
      <c r="N47" s="265">
        <f t="shared" si="38"/>
        <v>96.482663999999986</v>
      </c>
      <c r="O47" s="265">
        <f t="shared" si="38"/>
        <v>135.25250399999999</v>
      </c>
      <c r="P47" s="265">
        <f t="shared" si="38"/>
        <v>134.49</v>
      </c>
      <c r="Q47" s="302">
        <f t="shared" si="35"/>
        <v>5198.2328640000005</v>
      </c>
    </row>
    <row r="48" spans="1:21" x14ac:dyDescent="0.25">
      <c r="A48" s="281"/>
      <c r="C48" s="281"/>
      <c r="D48" s="303" t="s">
        <v>1314</v>
      </c>
      <c r="E48" s="265">
        <f t="shared" ref="E48:P48" si="39">E86</f>
        <v>0</v>
      </c>
      <c r="F48" s="265">
        <f t="shared" si="39"/>
        <v>0</v>
      </c>
      <c r="G48" s="265">
        <f t="shared" si="39"/>
        <v>0</v>
      </c>
      <c r="H48" s="265">
        <f t="shared" si="39"/>
        <v>0</v>
      </c>
      <c r="I48" s="265">
        <f t="shared" si="39"/>
        <v>0</v>
      </c>
      <c r="J48" s="265">
        <f t="shared" si="39"/>
        <v>0</v>
      </c>
      <c r="K48" s="265">
        <f t="shared" si="39"/>
        <v>0</v>
      </c>
      <c r="L48" s="265">
        <f t="shared" si="39"/>
        <v>0</v>
      </c>
      <c r="M48" s="265">
        <f t="shared" si="39"/>
        <v>0</v>
      </c>
      <c r="N48" s="265">
        <f t="shared" si="39"/>
        <v>0</v>
      </c>
      <c r="O48" s="265">
        <f t="shared" si="39"/>
        <v>0</v>
      </c>
      <c r="P48" s="265">
        <f t="shared" si="39"/>
        <v>0</v>
      </c>
      <c r="Q48" s="302">
        <f t="shared" si="35"/>
        <v>0</v>
      </c>
    </row>
    <row r="49" spans="1:17" x14ac:dyDescent="0.25">
      <c r="A49" s="281"/>
      <c r="C49" s="281"/>
      <c r="D49" s="303" t="s">
        <v>1337</v>
      </c>
      <c r="E49" s="265">
        <f t="shared" ref="E49:P49" si="40">E95</f>
        <v>0</v>
      </c>
      <c r="F49" s="265">
        <f t="shared" si="40"/>
        <v>0</v>
      </c>
      <c r="G49" s="265">
        <f t="shared" si="40"/>
        <v>5802.62</v>
      </c>
      <c r="H49" s="265">
        <f t="shared" si="40"/>
        <v>5802.62</v>
      </c>
      <c r="I49" s="265">
        <f t="shared" si="40"/>
        <v>5802.62</v>
      </c>
      <c r="J49" s="265">
        <f t="shared" si="40"/>
        <v>5802.62</v>
      </c>
      <c r="K49" s="265">
        <f t="shared" si="40"/>
        <v>5802.62</v>
      </c>
      <c r="L49" s="265">
        <f t="shared" si="40"/>
        <v>5802.62</v>
      </c>
      <c r="M49" s="265">
        <f t="shared" si="40"/>
        <v>5802.62</v>
      </c>
      <c r="N49" s="265">
        <f t="shared" si="40"/>
        <v>5802.62</v>
      </c>
      <c r="O49" s="265">
        <f t="shared" si="40"/>
        <v>5802.62</v>
      </c>
      <c r="P49" s="265">
        <f t="shared" si="40"/>
        <v>5802.62</v>
      </c>
      <c r="Q49" s="302">
        <f t="shared" si="35"/>
        <v>58026.200000000012</v>
      </c>
    </row>
    <row r="50" spans="1:17" x14ac:dyDescent="0.25">
      <c r="A50" s="281"/>
      <c r="C50" s="281"/>
      <c r="D50" s="303" t="s">
        <v>1336</v>
      </c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302">
        <f t="shared" si="35"/>
        <v>0</v>
      </c>
    </row>
    <row r="51" spans="1:17" x14ac:dyDescent="0.25">
      <c r="A51" s="281"/>
    </row>
    <row r="52" spans="1:17" x14ac:dyDescent="0.25">
      <c r="A52" s="281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</row>
    <row r="53" spans="1:17" s="296" customFormat="1" ht="30" x14ac:dyDescent="0.25">
      <c r="A53" s="300"/>
      <c r="B53" s="299"/>
      <c r="C53" s="299" t="s">
        <v>1335</v>
      </c>
      <c r="D53" s="299"/>
      <c r="E53" s="298" t="s">
        <v>1334</v>
      </c>
      <c r="F53" s="298" t="s">
        <v>1333</v>
      </c>
      <c r="G53" s="298" t="s">
        <v>1332</v>
      </c>
      <c r="H53" s="298" t="s">
        <v>1331</v>
      </c>
      <c r="I53" s="298" t="s">
        <v>1330</v>
      </c>
      <c r="J53" s="298" t="s">
        <v>1329</v>
      </c>
      <c r="K53" s="298" t="s">
        <v>1328</v>
      </c>
      <c r="L53" s="298" t="s">
        <v>1327</v>
      </c>
      <c r="M53" s="298" t="s">
        <v>1326</v>
      </c>
      <c r="N53" s="298" t="s">
        <v>1325</v>
      </c>
      <c r="O53" s="298" t="s">
        <v>1324</v>
      </c>
      <c r="P53" s="298" t="s">
        <v>1323</v>
      </c>
      <c r="Q53" s="297" t="s">
        <v>991</v>
      </c>
    </row>
    <row r="54" spans="1:17" s="277" customFormat="1" ht="30" x14ac:dyDescent="0.25">
      <c r="A54" s="271" t="s">
        <v>991</v>
      </c>
      <c r="B54" s="279" t="s">
        <v>1322</v>
      </c>
      <c r="C54" s="271"/>
      <c r="D54" s="279"/>
      <c r="E54" s="292">
        <f t="shared" ref="E54:P54" si="41">E55+E56</f>
        <v>48696.987487999984</v>
      </c>
      <c r="F54" s="292">
        <f t="shared" si="41"/>
        <v>47128.257667999991</v>
      </c>
      <c r="G54" s="292">
        <f t="shared" si="41"/>
        <v>40370.452055999995</v>
      </c>
      <c r="H54" s="292">
        <f t="shared" si="41"/>
        <v>39938.825819999998</v>
      </c>
      <c r="I54" s="292">
        <f t="shared" si="41"/>
        <v>29101.896580000001</v>
      </c>
      <c r="J54" s="292">
        <f t="shared" si="41"/>
        <v>988.23225999999988</v>
      </c>
      <c r="K54" s="292">
        <f t="shared" si="41"/>
        <v>971.72040799999991</v>
      </c>
      <c r="L54" s="292">
        <f t="shared" si="41"/>
        <v>1323.0368199999998</v>
      </c>
      <c r="M54" s="292">
        <f t="shared" si="41"/>
        <v>14682.653571999999</v>
      </c>
      <c r="N54" s="292">
        <f t="shared" si="41"/>
        <v>28597.911811999998</v>
      </c>
      <c r="O54" s="292">
        <f t="shared" si="41"/>
        <v>38516.939392</v>
      </c>
      <c r="P54" s="292">
        <f t="shared" si="41"/>
        <v>47503.26</v>
      </c>
      <c r="Q54" s="292">
        <f t="shared" ref="Q54:Q70" si="42">SUM(E54:P54)</f>
        <v>337820.17387599999</v>
      </c>
    </row>
    <row r="55" spans="1:17" ht="30" x14ac:dyDescent="0.25">
      <c r="A55" s="269" t="s">
        <v>1303</v>
      </c>
      <c r="B55" s="270" t="s">
        <v>1322</v>
      </c>
      <c r="C55" s="269"/>
      <c r="D55" s="270" t="s">
        <v>1301</v>
      </c>
      <c r="E55" s="295">
        <f>E59+E63+E67+0.02</f>
        <v>48696.987487999984</v>
      </c>
      <c r="F55" s="295">
        <f>F59+F63+F67-0.02</f>
        <v>22122.830359999996</v>
      </c>
      <c r="G55" s="294">
        <f>G59+G63+G67</f>
        <v>16829.835359999994</v>
      </c>
      <c r="H55" s="293">
        <f>H59+H63+H67</f>
        <v>14717.973407999998</v>
      </c>
      <c r="I55" s="295">
        <f>I59+I63+I67+0.01</f>
        <v>14559.419559999998</v>
      </c>
      <c r="J55" s="295">
        <f>J59+J63+J67+0.01</f>
        <v>898.84064799999987</v>
      </c>
      <c r="K55" s="295">
        <f>K59+K63+K67-0.01</f>
        <v>898.82064799999989</v>
      </c>
      <c r="L55" s="295">
        <f>L59+L63+L67+0.01</f>
        <v>1198.4508639999999</v>
      </c>
      <c r="M55" s="295">
        <f>M59+M63+M67+0.01</f>
        <v>14590.942072</v>
      </c>
      <c r="N55" s="295">
        <f>N59+N63+N67-0.01</f>
        <v>14890.532287999999</v>
      </c>
      <c r="O55" s="295">
        <f>O59+O63+O67+0.01</f>
        <v>14859.915783999999</v>
      </c>
      <c r="P55" s="295">
        <f>P59+P63+P67+0.01</f>
        <v>14770.26</v>
      </c>
      <c r="Q55" s="292">
        <f t="shared" si="42"/>
        <v>179034.80847999995</v>
      </c>
    </row>
    <row r="56" spans="1:17" ht="30" x14ac:dyDescent="0.25">
      <c r="A56" s="269" t="s">
        <v>1302</v>
      </c>
      <c r="B56" s="270" t="s">
        <v>1322</v>
      </c>
      <c r="C56" s="269"/>
      <c r="D56" s="270" t="s">
        <v>1301</v>
      </c>
      <c r="E56" s="293">
        <f>E60+E64+E68</f>
        <v>0</v>
      </c>
      <c r="F56" s="293">
        <f>F60+F64+F68</f>
        <v>25005.427307999995</v>
      </c>
      <c r="G56" s="293">
        <f>G60+G64+G68</f>
        <v>23540.616695999997</v>
      </c>
      <c r="H56" s="293">
        <f>H60+H64+H68</f>
        <v>25220.852411999997</v>
      </c>
      <c r="I56" s="293">
        <f t="shared" ref="I56:P56" si="43">I60+I64+I68</f>
        <v>14542.47702</v>
      </c>
      <c r="J56" s="293">
        <f t="shared" si="43"/>
        <v>89.391611999999981</v>
      </c>
      <c r="K56" s="293">
        <f t="shared" si="43"/>
        <v>72.899760000000001</v>
      </c>
      <c r="L56" s="293">
        <f t="shared" si="43"/>
        <v>124.58595599999998</v>
      </c>
      <c r="M56" s="293">
        <f t="shared" si="43"/>
        <v>91.711499999999987</v>
      </c>
      <c r="N56" s="293">
        <f t="shared" si="43"/>
        <v>13707.379523999998</v>
      </c>
      <c r="O56" s="293">
        <f t="shared" si="43"/>
        <v>23657.023608</v>
      </c>
      <c r="P56" s="293">
        <f t="shared" si="43"/>
        <v>32733.000000000004</v>
      </c>
      <c r="Q56" s="292">
        <f t="shared" si="42"/>
        <v>158785.36539600001</v>
      </c>
    </row>
    <row r="57" spans="1:17" ht="60" x14ac:dyDescent="0.25">
      <c r="A57" s="274" t="s">
        <v>1303</v>
      </c>
      <c r="B57" s="275" t="s">
        <v>1321</v>
      </c>
      <c r="C57" s="274"/>
      <c r="D57" s="275" t="s">
        <v>1320</v>
      </c>
      <c r="E57" s="274">
        <v>0.84399999999999997</v>
      </c>
      <c r="F57" s="267">
        <v>0.79500000000000004</v>
      </c>
      <c r="G57" s="267">
        <v>1.42</v>
      </c>
      <c r="H57" s="267">
        <v>1.476</v>
      </c>
      <c r="I57" s="274">
        <v>0.44500000000000001</v>
      </c>
      <c r="J57" s="274">
        <v>0.38100000000000001</v>
      </c>
      <c r="K57" s="274">
        <v>0.38100000000000001</v>
      </c>
      <c r="L57" s="274">
        <v>0.50800000000000001</v>
      </c>
      <c r="M57" s="274">
        <v>0.44500000000000001</v>
      </c>
      <c r="N57" s="274">
        <v>0.57199999999999995</v>
      </c>
      <c r="O57" s="274">
        <v>0.55900000000000005</v>
      </c>
      <c r="P57" s="274">
        <v>0.52100000000000002</v>
      </c>
      <c r="Q57" s="282">
        <f t="shared" si="42"/>
        <v>8.3470000000000013</v>
      </c>
    </row>
    <row r="58" spans="1:17" ht="60" x14ac:dyDescent="0.25">
      <c r="A58" s="274" t="s">
        <v>1302</v>
      </c>
      <c r="B58" s="275" t="s">
        <v>1321</v>
      </c>
      <c r="C58" s="274"/>
      <c r="D58" s="275" t="s">
        <v>1320</v>
      </c>
      <c r="E58" s="274"/>
      <c r="F58" s="267">
        <v>0.1</v>
      </c>
      <c r="G58" s="267">
        <v>0.159</v>
      </c>
      <c r="H58" s="267">
        <v>0.2</v>
      </c>
      <c r="I58" s="274">
        <v>3.9E-2</v>
      </c>
      <c r="J58" s="274">
        <v>3.7999999999999999E-2</v>
      </c>
      <c r="K58" s="274">
        <v>3.1E-2</v>
      </c>
      <c r="L58" s="274">
        <v>5.2999999999999999E-2</v>
      </c>
      <c r="M58" s="274">
        <v>3.9E-2</v>
      </c>
      <c r="N58" s="274">
        <v>8.5999999999999993E-2</v>
      </c>
      <c r="O58" s="274">
        <v>8.4000000000000005E-2</v>
      </c>
      <c r="P58" s="274">
        <v>8.2000000000000003E-2</v>
      </c>
      <c r="Q58" s="282">
        <f t="shared" si="42"/>
        <v>0.91100000000000003</v>
      </c>
    </row>
    <row r="59" spans="1:17" ht="60" x14ac:dyDescent="0.25">
      <c r="A59" s="274" t="s">
        <v>1303</v>
      </c>
      <c r="B59" s="275" t="s">
        <v>1321</v>
      </c>
      <c r="C59" s="274">
        <f>1876.34*1.2</f>
        <v>2251.6079999999997</v>
      </c>
      <c r="D59" s="275" t="s">
        <v>1301</v>
      </c>
      <c r="E59" s="287">
        <f t="shared" ref="E59:O59" si="44">E57*$C59</f>
        <v>1900.3571519999998</v>
      </c>
      <c r="F59" s="287">
        <f t="shared" si="44"/>
        <v>1790.0283599999998</v>
      </c>
      <c r="G59" s="287">
        <f t="shared" si="44"/>
        <v>3197.2833599999994</v>
      </c>
      <c r="H59" s="287">
        <f t="shared" si="44"/>
        <v>3323.3734079999995</v>
      </c>
      <c r="I59" s="287">
        <f t="shared" si="44"/>
        <v>1001.9655599999999</v>
      </c>
      <c r="J59" s="287">
        <f t="shared" si="44"/>
        <v>857.86264799999992</v>
      </c>
      <c r="K59" s="287">
        <f t="shared" si="44"/>
        <v>857.86264799999992</v>
      </c>
      <c r="L59" s="287">
        <f t="shared" si="44"/>
        <v>1143.8168639999999</v>
      </c>
      <c r="M59" s="287">
        <f t="shared" si="44"/>
        <v>1001.9655599999999</v>
      </c>
      <c r="N59" s="287">
        <f t="shared" si="44"/>
        <v>1287.9197759999997</v>
      </c>
      <c r="O59" s="287">
        <f t="shared" si="44"/>
        <v>1258.648872</v>
      </c>
      <c r="P59" s="287">
        <f>ROUND(P57*$C59,2)</f>
        <v>1173.0899999999999</v>
      </c>
      <c r="Q59" s="282">
        <f t="shared" si="42"/>
        <v>18794.174208</v>
      </c>
    </row>
    <row r="60" spans="1:17" ht="60" x14ac:dyDescent="0.25">
      <c r="A60" s="274" t="s">
        <v>1302</v>
      </c>
      <c r="B60" s="275" t="s">
        <v>1321</v>
      </c>
      <c r="C60" s="274">
        <f>1876.34*1.2</f>
        <v>2251.6079999999997</v>
      </c>
      <c r="D60" s="275" t="s">
        <v>1301</v>
      </c>
      <c r="E60" s="287">
        <f t="shared" ref="E60:O60" si="45">E58*$C60</f>
        <v>0</v>
      </c>
      <c r="F60" s="287">
        <f t="shared" si="45"/>
        <v>225.16079999999999</v>
      </c>
      <c r="G60" s="287">
        <f t="shared" si="45"/>
        <v>358.00567199999995</v>
      </c>
      <c r="H60" s="287">
        <f t="shared" si="45"/>
        <v>450.32159999999999</v>
      </c>
      <c r="I60" s="287">
        <f t="shared" si="45"/>
        <v>87.812711999999991</v>
      </c>
      <c r="J60" s="287">
        <f t="shared" si="45"/>
        <v>85.561103999999986</v>
      </c>
      <c r="K60" s="287">
        <f t="shared" si="45"/>
        <v>69.799847999999997</v>
      </c>
      <c r="L60" s="287">
        <f t="shared" si="45"/>
        <v>119.33522399999998</v>
      </c>
      <c r="M60" s="287">
        <f t="shared" si="45"/>
        <v>87.812711999999991</v>
      </c>
      <c r="N60" s="287">
        <f t="shared" si="45"/>
        <v>193.63828799999996</v>
      </c>
      <c r="O60" s="287">
        <f t="shared" si="45"/>
        <v>189.13507199999998</v>
      </c>
      <c r="P60" s="287">
        <f>ROUND(P58*$C60,2)</f>
        <v>184.63</v>
      </c>
      <c r="Q60" s="282">
        <f t="shared" si="42"/>
        <v>2051.2130319999992</v>
      </c>
    </row>
    <row r="61" spans="1:17" x14ac:dyDescent="0.25">
      <c r="A61" s="274" t="s">
        <v>1303</v>
      </c>
      <c r="B61" s="275" t="s">
        <v>1319</v>
      </c>
      <c r="C61" s="274"/>
      <c r="D61" s="275" t="s">
        <v>1320</v>
      </c>
      <c r="E61" s="274">
        <v>20.745000000000001</v>
      </c>
      <c r="F61" s="267">
        <v>9</v>
      </c>
      <c r="G61" s="267">
        <v>6</v>
      </c>
      <c r="H61" s="267">
        <v>5</v>
      </c>
      <c r="I61" s="267">
        <v>6</v>
      </c>
      <c r="J61" s="274"/>
      <c r="K61" s="274"/>
      <c r="L61" s="274"/>
      <c r="M61" s="274">
        <v>6.0140000000000002</v>
      </c>
      <c r="N61" s="274">
        <v>6.0140000000000002</v>
      </c>
      <c r="O61" s="274">
        <v>6.0140000000000002</v>
      </c>
      <c r="P61" s="274">
        <v>6.0140000000000002</v>
      </c>
      <c r="Q61" s="282">
        <f t="shared" si="42"/>
        <v>70.801000000000002</v>
      </c>
    </row>
    <row r="62" spans="1:17" x14ac:dyDescent="0.25">
      <c r="A62" s="274" t="s">
        <v>1302</v>
      </c>
      <c r="B62" s="275" t="s">
        <v>1319</v>
      </c>
      <c r="C62" s="274"/>
      <c r="D62" s="275" t="s">
        <v>1320</v>
      </c>
      <c r="E62" s="274"/>
      <c r="F62" s="267">
        <v>10.994999999999999</v>
      </c>
      <c r="G62" s="267">
        <v>10.279</v>
      </c>
      <c r="H62" s="267">
        <v>10.986000000000001</v>
      </c>
      <c r="I62" s="267">
        <v>6.4180000000000001</v>
      </c>
      <c r="J62" s="274"/>
      <c r="K62" s="274"/>
      <c r="L62" s="274"/>
      <c r="M62" s="274"/>
      <c r="N62" s="274">
        <v>5.9980000000000002</v>
      </c>
      <c r="O62" s="274">
        <v>10.419</v>
      </c>
      <c r="P62" s="274">
        <v>14.452</v>
      </c>
      <c r="Q62" s="282">
        <f t="shared" si="42"/>
        <v>69.546999999999997</v>
      </c>
    </row>
    <row r="63" spans="1:17" x14ac:dyDescent="0.25">
      <c r="A63" s="274" t="s">
        <v>1303</v>
      </c>
      <c r="B63" s="275" t="s">
        <v>1319</v>
      </c>
      <c r="C63" s="274">
        <f>1876.34*1.2</f>
        <v>2251.6079999999997</v>
      </c>
      <c r="D63" s="275" t="s">
        <v>1301</v>
      </c>
      <c r="E63" s="287">
        <f>E61*$C63</f>
        <v>46709.607959999994</v>
      </c>
      <c r="F63" s="288">
        <f>F61*$C63+0.07</f>
        <v>20264.541999999998</v>
      </c>
      <c r="G63" s="287">
        <f t="shared" ref="G63:O63" si="46">G61*$C63</f>
        <v>13509.647999999997</v>
      </c>
      <c r="H63" s="287">
        <f t="shared" si="46"/>
        <v>11258.039999999999</v>
      </c>
      <c r="I63" s="287">
        <f t="shared" si="46"/>
        <v>13509.647999999997</v>
      </c>
      <c r="J63" s="287">
        <f t="shared" si="46"/>
        <v>0</v>
      </c>
      <c r="K63" s="287">
        <f t="shared" si="46"/>
        <v>0</v>
      </c>
      <c r="L63" s="287">
        <f t="shared" si="46"/>
        <v>0</v>
      </c>
      <c r="M63" s="287">
        <f t="shared" si="46"/>
        <v>13541.170511999999</v>
      </c>
      <c r="N63" s="287">
        <f t="shared" si="46"/>
        <v>13541.170511999999</v>
      </c>
      <c r="O63" s="287">
        <f t="shared" si="46"/>
        <v>13541.170511999999</v>
      </c>
      <c r="P63" s="287">
        <f>ROUND(P61*$C63,2)</f>
        <v>13541.17</v>
      </c>
      <c r="Q63" s="282">
        <f t="shared" si="42"/>
        <v>159416.16749600001</v>
      </c>
    </row>
    <row r="64" spans="1:17" x14ac:dyDescent="0.25">
      <c r="A64" s="274" t="s">
        <v>1302</v>
      </c>
      <c r="B64" s="275" t="s">
        <v>1319</v>
      </c>
      <c r="C64" s="274">
        <f>1876.34*1.2</f>
        <v>2251.6079999999997</v>
      </c>
      <c r="D64" s="275" t="s">
        <v>1301</v>
      </c>
      <c r="E64" s="287">
        <f>E62*$C64</f>
        <v>0</v>
      </c>
      <c r="F64" s="287">
        <f>F62*$C64</f>
        <v>24756.429959999994</v>
      </c>
      <c r="G64" s="287">
        <f t="shared" ref="G64:O64" si="47">G62*$C64</f>
        <v>23144.278631999998</v>
      </c>
      <c r="H64" s="287">
        <f t="shared" si="47"/>
        <v>24736.165487999999</v>
      </c>
      <c r="I64" s="287">
        <f t="shared" si="47"/>
        <v>14450.820143999999</v>
      </c>
      <c r="J64" s="287">
        <f t="shared" si="47"/>
        <v>0</v>
      </c>
      <c r="K64" s="287">
        <f t="shared" si="47"/>
        <v>0</v>
      </c>
      <c r="L64" s="287">
        <f t="shared" si="47"/>
        <v>0</v>
      </c>
      <c r="M64" s="287">
        <f t="shared" si="47"/>
        <v>0</v>
      </c>
      <c r="N64" s="287">
        <f t="shared" si="47"/>
        <v>13505.144783999998</v>
      </c>
      <c r="O64" s="287">
        <f t="shared" si="47"/>
        <v>23459.503751999997</v>
      </c>
      <c r="P64" s="287">
        <f>ROUND(P62*$C64,2)</f>
        <v>32540.240000000002</v>
      </c>
      <c r="Q64" s="282">
        <f t="shared" si="42"/>
        <v>156592.58275999999</v>
      </c>
    </row>
    <row r="65" spans="1:17" ht="45" x14ac:dyDescent="0.25">
      <c r="A65" s="274" t="s">
        <v>1303</v>
      </c>
      <c r="B65" s="275" t="s">
        <v>1318</v>
      </c>
      <c r="C65" s="274"/>
      <c r="D65" s="275" t="s">
        <v>1309</v>
      </c>
      <c r="E65" s="274">
        <v>12.742000000000001</v>
      </c>
      <c r="F65" s="267">
        <v>10</v>
      </c>
      <c r="G65" s="267">
        <v>18</v>
      </c>
      <c r="H65" s="267">
        <v>20</v>
      </c>
      <c r="I65" s="267">
        <v>7</v>
      </c>
      <c r="J65" s="274">
        <v>6</v>
      </c>
      <c r="K65" s="274">
        <v>6</v>
      </c>
      <c r="L65" s="274">
        <v>8</v>
      </c>
      <c r="M65" s="274">
        <v>7</v>
      </c>
      <c r="N65" s="274">
        <v>9</v>
      </c>
      <c r="O65" s="274">
        <v>8.8000000000000007</v>
      </c>
      <c r="P65" s="274">
        <v>8.1999999999999993</v>
      </c>
      <c r="Q65" s="282">
        <f t="shared" si="42"/>
        <v>120.742</v>
      </c>
    </row>
    <row r="66" spans="1:17" ht="45" x14ac:dyDescent="0.25">
      <c r="A66" s="274" t="s">
        <v>1302</v>
      </c>
      <c r="B66" s="275" t="s">
        <v>1318</v>
      </c>
      <c r="C66" s="274"/>
      <c r="D66" s="275" t="s">
        <v>1309</v>
      </c>
      <c r="E66" s="274"/>
      <c r="F66" s="267">
        <v>3.4910000000000001</v>
      </c>
      <c r="G66" s="267">
        <v>5.6139999999999999</v>
      </c>
      <c r="H66" s="267">
        <v>5.0330000000000004</v>
      </c>
      <c r="I66" s="267">
        <v>0.56299999999999994</v>
      </c>
      <c r="J66" s="274">
        <v>0.56100000000000005</v>
      </c>
      <c r="K66" s="274">
        <v>0.45400000000000001</v>
      </c>
      <c r="L66" s="274">
        <v>0.76900000000000002</v>
      </c>
      <c r="M66" s="274">
        <v>0.57099999999999995</v>
      </c>
      <c r="N66" s="274">
        <v>1.2589999999999999</v>
      </c>
      <c r="O66" s="274">
        <v>1.228</v>
      </c>
      <c r="P66" s="274">
        <v>1.19</v>
      </c>
      <c r="Q66" s="282">
        <f t="shared" si="42"/>
        <v>20.733000000000008</v>
      </c>
    </row>
    <row r="67" spans="1:17" ht="45" x14ac:dyDescent="0.25">
      <c r="A67" s="274" t="s">
        <v>1303</v>
      </c>
      <c r="B67" s="275" t="s">
        <v>1318</v>
      </c>
      <c r="C67" s="274">
        <f>5.69*1.2</f>
        <v>6.8280000000000003</v>
      </c>
      <c r="D67" s="275" t="s">
        <v>1301</v>
      </c>
      <c r="E67" s="287">
        <f t="shared" ref="E67:O67" si="48">E65*$C67</f>
        <v>87.002376000000012</v>
      </c>
      <c r="F67" s="287">
        <f t="shared" si="48"/>
        <v>68.28</v>
      </c>
      <c r="G67" s="287">
        <f t="shared" si="48"/>
        <v>122.90400000000001</v>
      </c>
      <c r="H67" s="287">
        <f t="shared" si="48"/>
        <v>136.56</v>
      </c>
      <c r="I67" s="287">
        <f t="shared" si="48"/>
        <v>47.795999999999999</v>
      </c>
      <c r="J67" s="287">
        <f t="shared" si="48"/>
        <v>40.968000000000004</v>
      </c>
      <c r="K67" s="287">
        <f t="shared" si="48"/>
        <v>40.968000000000004</v>
      </c>
      <c r="L67" s="287">
        <f t="shared" si="48"/>
        <v>54.624000000000002</v>
      </c>
      <c r="M67" s="287">
        <f t="shared" si="48"/>
        <v>47.795999999999999</v>
      </c>
      <c r="N67" s="287">
        <f t="shared" si="48"/>
        <v>61.452000000000005</v>
      </c>
      <c r="O67" s="287">
        <f t="shared" si="48"/>
        <v>60.086400000000005</v>
      </c>
      <c r="P67" s="287">
        <f>ROUND(P65*$C67,2)</f>
        <v>55.99</v>
      </c>
      <c r="Q67" s="282">
        <f t="shared" si="42"/>
        <v>824.42677600000013</v>
      </c>
    </row>
    <row r="68" spans="1:17" ht="45" x14ac:dyDescent="0.25">
      <c r="A68" s="274" t="s">
        <v>1302</v>
      </c>
      <c r="B68" s="275" t="s">
        <v>1318</v>
      </c>
      <c r="C68" s="274">
        <f>5.69*1.2</f>
        <v>6.8280000000000003</v>
      </c>
      <c r="D68" s="275" t="s">
        <v>1301</v>
      </c>
      <c r="E68" s="287">
        <f t="shared" ref="E68:O68" si="49">E66*$C68</f>
        <v>0</v>
      </c>
      <c r="F68" s="287">
        <f t="shared" si="49"/>
        <v>23.836548000000001</v>
      </c>
      <c r="G68" s="287">
        <f t="shared" si="49"/>
        <v>38.332391999999999</v>
      </c>
      <c r="H68" s="287">
        <f t="shared" si="49"/>
        <v>34.365324000000001</v>
      </c>
      <c r="I68" s="287">
        <f t="shared" si="49"/>
        <v>3.8441639999999997</v>
      </c>
      <c r="J68" s="287">
        <f t="shared" si="49"/>
        <v>3.8305080000000005</v>
      </c>
      <c r="K68" s="287">
        <f t="shared" si="49"/>
        <v>3.0999120000000002</v>
      </c>
      <c r="L68" s="287">
        <f t="shared" si="49"/>
        <v>5.2507320000000002</v>
      </c>
      <c r="M68" s="287">
        <f t="shared" si="49"/>
        <v>3.8987879999999997</v>
      </c>
      <c r="N68" s="287">
        <f t="shared" si="49"/>
        <v>8.5964519999999993</v>
      </c>
      <c r="O68" s="287">
        <f t="shared" si="49"/>
        <v>8.3847839999999998</v>
      </c>
      <c r="P68" s="287">
        <f>ROUND(P66*$C68,2)</f>
        <v>8.1300000000000008</v>
      </c>
      <c r="Q68" s="282">
        <f t="shared" si="42"/>
        <v>141.569604</v>
      </c>
    </row>
    <row r="69" spans="1:17" s="283" customFormat="1" x14ac:dyDescent="0.25">
      <c r="A69" s="286" t="s">
        <v>1313</v>
      </c>
      <c r="B69" s="285"/>
      <c r="C69" s="286"/>
      <c r="D69" s="285"/>
      <c r="E69" s="284"/>
      <c r="F69" s="284">
        <f>12938.67+20342.19+34338.63</f>
        <v>67619.489999999991</v>
      </c>
      <c r="G69" s="284"/>
      <c r="H69" s="284"/>
      <c r="I69" s="284"/>
      <c r="J69" s="284"/>
      <c r="K69" s="284"/>
      <c r="L69" s="284"/>
      <c r="M69" s="284"/>
      <c r="N69" s="284"/>
      <c r="O69" s="284"/>
      <c r="P69" s="284"/>
      <c r="Q69" s="284">
        <f t="shared" si="42"/>
        <v>67619.489999999991</v>
      </c>
    </row>
    <row r="70" spans="1:17" s="283" customFormat="1" x14ac:dyDescent="0.25">
      <c r="A70" s="286" t="s">
        <v>1312</v>
      </c>
      <c r="B70" s="285"/>
      <c r="C70" s="286"/>
      <c r="D70" s="285"/>
      <c r="E70" s="284"/>
      <c r="F70" s="284"/>
      <c r="G70" s="284"/>
      <c r="H70" s="284"/>
      <c r="I70" s="284"/>
      <c r="J70" s="284">
        <v>2406.56</v>
      </c>
      <c r="K70" s="284"/>
      <c r="L70" s="284"/>
      <c r="M70" s="284"/>
      <c r="N70" s="284"/>
      <c r="O70" s="284"/>
      <c r="P70" s="284"/>
      <c r="Q70" s="284">
        <f t="shared" si="42"/>
        <v>2406.56</v>
      </c>
    </row>
    <row r="71" spans="1:17" x14ac:dyDescent="0.25">
      <c r="A71" s="274"/>
      <c r="B71" s="275"/>
      <c r="C71" s="274"/>
      <c r="D71" s="275"/>
      <c r="E71" s="27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Q71" s="274"/>
    </row>
    <row r="72" spans="1:17" s="277" customFormat="1" x14ac:dyDescent="0.25">
      <c r="A72" s="271" t="s">
        <v>991</v>
      </c>
      <c r="B72" s="279" t="s">
        <v>1317</v>
      </c>
      <c r="C72" s="271"/>
      <c r="D72" s="279"/>
      <c r="E72" s="292">
        <f t="shared" ref="E72:P72" si="50">E73+E74</f>
        <v>1451.9410559999999</v>
      </c>
      <c r="F72" s="292">
        <f t="shared" si="50"/>
        <v>2507.8110000000001</v>
      </c>
      <c r="G72" s="292">
        <f t="shared" si="50"/>
        <v>5925.7102239999995</v>
      </c>
      <c r="H72" s="292">
        <f t="shared" si="50"/>
        <v>5421.106984</v>
      </c>
      <c r="I72" s="292">
        <f t="shared" si="50"/>
        <v>818.24455199999989</v>
      </c>
      <c r="J72" s="292">
        <f t="shared" si="50"/>
        <v>968.74639200000001</v>
      </c>
      <c r="K72" s="292">
        <f t="shared" si="50"/>
        <v>839.29036799999994</v>
      </c>
      <c r="L72" s="292">
        <f t="shared" si="50"/>
        <v>1029.097272</v>
      </c>
      <c r="M72" s="292">
        <f t="shared" si="50"/>
        <v>1001.626232</v>
      </c>
      <c r="N72" s="292">
        <f t="shared" si="50"/>
        <v>1258.3598480000001</v>
      </c>
      <c r="O72" s="292">
        <f t="shared" si="50"/>
        <v>1169.6283839999999</v>
      </c>
      <c r="P72" s="292">
        <f t="shared" si="50"/>
        <v>1187.0348000000001</v>
      </c>
      <c r="Q72" s="292">
        <f t="shared" ref="Q72:Q89" si="51">SUM(E72:P72)</f>
        <v>23578.597111999996</v>
      </c>
    </row>
    <row r="73" spans="1:17" x14ac:dyDescent="0.25">
      <c r="A73" s="269" t="s">
        <v>1303</v>
      </c>
      <c r="B73" s="270" t="s">
        <v>1317</v>
      </c>
      <c r="C73" s="269"/>
      <c r="D73" s="270" t="s">
        <v>1301</v>
      </c>
      <c r="E73" s="294">
        <f t="shared" ref="E73:P73" si="52">E77+E81+E85</f>
        <v>302.916</v>
      </c>
      <c r="F73" s="294">
        <f t="shared" si="52"/>
        <v>1375.3440000000001</v>
      </c>
      <c r="G73" s="294">
        <f t="shared" si="52"/>
        <v>1765.7139999999999</v>
      </c>
      <c r="H73" s="294">
        <f t="shared" si="52"/>
        <v>1689.934</v>
      </c>
      <c r="I73" s="294">
        <f t="shared" si="52"/>
        <v>721.87799999999993</v>
      </c>
      <c r="J73" s="294">
        <f t="shared" si="52"/>
        <v>823.48800000000006</v>
      </c>
      <c r="K73" s="294">
        <f t="shared" si="52"/>
        <v>750.62399999999991</v>
      </c>
      <c r="L73" s="294">
        <f t="shared" si="52"/>
        <v>884.81399999999996</v>
      </c>
      <c r="M73" s="294">
        <f t="shared" si="52"/>
        <v>854.12599999999998</v>
      </c>
      <c r="N73" s="294">
        <f t="shared" si="52"/>
        <v>1052.24</v>
      </c>
      <c r="O73" s="294">
        <f t="shared" si="52"/>
        <v>864.07319999999993</v>
      </c>
      <c r="P73" s="294">
        <f t="shared" si="52"/>
        <v>882.24480000000005</v>
      </c>
      <c r="Q73" s="292">
        <f t="shared" si="51"/>
        <v>11967.396000000001</v>
      </c>
    </row>
    <row r="74" spans="1:17" x14ac:dyDescent="0.25">
      <c r="A74" s="269" t="s">
        <v>1302</v>
      </c>
      <c r="B74" s="270" t="s">
        <v>1317</v>
      </c>
      <c r="C74" s="269"/>
      <c r="D74" s="270" t="s">
        <v>1301</v>
      </c>
      <c r="E74" s="293">
        <f t="shared" ref="E74:P74" si="53">E78+E82+E86</f>
        <v>1149.0250559999999</v>
      </c>
      <c r="F74" s="293">
        <f t="shared" si="53"/>
        <v>1132.4670000000001</v>
      </c>
      <c r="G74" s="293">
        <f t="shared" si="53"/>
        <v>4159.9962239999995</v>
      </c>
      <c r="H74" s="293">
        <f t="shared" si="53"/>
        <v>3731.1729839999998</v>
      </c>
      <c r="I74" s="293">
        <f t="shared" si="53"/>
        <v>96.366551999999999</v>
      </c>
      <c r="J74" s="293">
        <f t="shared" si="53"/>
        <v>145.25839199999996</v>
      </c>
      <c r="K74" s="293">
        <f t="shared" si="53"/>
        <v>88.666367999999977</v>
      </c>
      <c r="L74" s="293">
        <f t="shared" si="53"/>
        <v>144.28327200000001</v>
      </c>
      <c r="M74" s="293">
        <f t="shared" si="53"/>
        <v>147.50023199999998</v>
      </c>
      <c r="N74" s="293">
        <f t="shared" si="53"/>
        <v>206.11984799999999</v>
      </c>
      <c r="O74" s="293">
        <f t="shared" si="53"/>
        <v>305.555184</v>
      </c>
      <c r="P74" s="293">
        <f t="shared" si="53"/>
        <v>304.79000000000002</v>
      </c>
      <c r="Q74" s="292">
        <f t="shared" si="51"/>
        <v>11611.201112000001</v>
      </c>
    </row>
    <row r="75" spans="1:17" x14ac:dyDescent="0.25">
      <c r="A75" s="274" t="s">
        <v>1303</v>
      </c>
      <c r="B75" s="275" t="s">
        <v>1316</v>
      </c>
      <c r="C75" s="274"/>
      <c r="D75" s="275" t="s">
        <v>1309</v>
      </c>
      <c r="E75" s="274">
        <v>2</v>
      </c>
      <c r="F75" s="267">
        <v>10</v>
      </c>
      <c r="G75" s="267">
        <v>10</v>
      </c>
      <c r="H75" s="267">
        <v>10</v>
      </c>
      <c r="I75" s="267">
        <v>8</v>
      </c>
      <c r="J75" s="274">
        <v>10</v>
      </c>
      <c r="K75" s="274">
        <v>9</v>
      </c>
      <c r="L75" s="274">
        <v>10</v>
      </c>
      <c r="M75" s="274">
        <v>10</v>
      </c>
      <c r="N75" s="274">
        <v>12</v>
      </c>
      <c r="O75" s="274">
        <v>8.6999999999999993</v>
      </c>
      <c r="P75" s="274">
        <v>9.3000000000000007</v>
      </c>
      <c r="Q75" s="282">
        <f t="shared" si="51"/>
        <v>109</v>
      </c>
    </row>
    <row r="76" spans="1:17" x14ac:dyDescent="0.25">
      <c r="A76" s="274" t="s">
        <v>1302</v>
      </c>
      <c r="B76" s="275" t="s">
        <v>1316</v>
      </c>
      <c r="C76" s="274"/>
      <c r="D76" s="275" t="s">
        <v>1309</v>
      </c>
      <c r="E76" s="274">
        <v>19.864999999999998</v>
      </c>
      <c r="F76" s="267">
        <v>20.033000000000001</v>
      </c>
      <c r="G76" s="267">
        <v>75.382999999999996</v>
      </c>
      <c r="H76" s="267">
        <v>66.42</v>
      </c>
      <c r="I76" s="267">
        <v>1.667</v>
      </c>
      <c r="J76" s="274">
        <v>2.6259999999999999</v>
      </c>
      <c r="K76" s="274">
        <v>1.5589999999999999</v>
      </c>
      <c r="L76" s="274">
        <v>2.5249999999999999</v>
      </c>
      <c r="M76" s="274">
        <v>2.6659999999999999</v>
      </c>
      <c r="N76" s="274">
        <f>3.544</f>
        <v>3.544</v>
      </c>
      <c r="O76" s="274">
        <v>5.5049999999999999</v>
      </c>
      <c r="P76" s="274">
        <v>5.5049999999999999</v>
      </c>
      <c r="Q76" s="282">
        <f t="shared" si="51"/>
        <v>207.298</v>
      </c>
    </row>
    <row r="77" spans="1:17" x14ac:dyDescent="0.25">
      <c r="A77" s="274" t="s">
        <v>1303</v>
      </c>
      <c r="B77" s="275" t="s">
        <v>1316</v>
      </c>
      <c r="C77" s="274">
        <f>25.78*1.2</f>
        <v>30.936</v>
      </c>
      <c r="D77" s="275" t="s">
        <v>1301</v>
      </c>
      <c r="E77" s="276">
        <f>E75*$C77-0.16</f>
        <v>61.712000000000003</v>
      </c>
      <c r="F77" s="265">
        <f>F75*$C77</f>
        <v>309.36</v>
      </c>
      <c r="G77" s="276">
        <f>G75*$C77-0.01</f>
        <v>309.35000000000002</v>
      </c>
      <c r="H77" s="276">
        <f>H75*$C77-0.01</f>
        <v>309.35000000000002</v>
      </c>
      <c r="I77" s="276">
        <f>I75*$C77+0.01</f>
        <v>247.49799999999999</v>
      </c>
      <c r="J77" s="287">
        <f>J75*$C77</f>
        <v>309.36</v>
      </c>
      <c r="K77" s="287">
        <f>K75*$C77</f>
        <v>278.42399999999998</v>
      </c>
      <c r="L77" s="276">
        <f>L75*$C77-0.01</f>
        <v>309.35000000000002</v>
      </c>
      <c r="M77" s="287">
        <f>M75*$C77</f>
        <v>309.36</v>
      </c>
      <c r="N77" s="276">
        <f>N75*$C77-0.01</f>
        <v>371.22199999999998</v>
      </c>
      <c r="O77" s="276">
        <f>O75*$C77-0.01</f>
        <v>269.13319999999999</v>
      </c>
      <c r="P77" s="276">
        <f>P75*$C77-0.01</f>
        <v>287.69480000000004</v>
      </c>
      <c r="Q77" s="282">
        <f t="shared" si="51"/>
        <v>3371.8140000000003</v>
      </c>
    </row>
    <row r="78" spans="1:17" x14ac:dyDescent="0.25">
      <c r="A78" s="274" t="s">
        <v>1302</v>
      </c>
      <c r="B78" s="275" t="s">
        <v>1316</v>
      </c>
      <c r="C78" s="274">
        <f>25.78*1.2</f>
        <v>30.936</v>
      </c>
      <c r="D78" s="275" t="s">
        <v>1301</v>
      </c>
      <c r="E78" s="287">
        <f>E76*$C78</f>
        <v>614.54363999999998</v>
      </c>
      <c r="F78" s="265">
        <f>F76*$C78</f>
        <v>619.74088800000004</v>
      </c>
      <c r="G78" s="265">
        <f>G76*$C78</f>
        <v>2332.0484879999999</v>
      </c>
      <c r="H78" s="265">
        <f>H76*$C78</f>
        <v>2054.7691199999999</v>
      </c>
      <c r="I78" s="265">
        <f>I76*$C78</f>
        <v>51.570312000000001</v>
      </c>
      <c r="J78" s="287">
        <f>J76*$C78</f>
        <v>81.237935999999991</v>
      </c>
      <c r="K78" s="287">
        <f>K76*$C78</f>
        <v>48.229223999999995</v>
      </c>
      <c r="L78" s="287">
        <f>L76*$C78</f>
        <v>78.113399999999999</v>
      </c>
      <c r="M78" s="287">
        <f>M76*$C78</f>
        <v>82.475375999999997</v>
      </c>
      <c r="N78" s="287">
        <f>N76*$C78</f>
        <v>109.637184</v>
      </c>
      <c r="O78" s="287">
        <f>O76*$C78</f>
        <v>170.30268000000001</v>
      </c>
      <c r="P78" s="287">
        <f>ROUND(P76*$C78,2)</f>
        <v>170.3</v>
      </c>
      <c r="Q78" s="282">
        <f t="shared" si="51"/>
        <v>6412.9682479999992</v>
      </c>
    </row>
    <row r="79" spans="1:17" x14ac:dyDescent="0.25">
      <c r="A79" s="274" t="s">
        <v>1303</v>
      </c>
      <c r="B79" s="275" t="s">
        <v>1315</v>
      </c>
      <c r="C79" s="274"/>
      <c r="D79" s="275" t="s">
        <v>1309</v>
      </c>
      <c r="E79" s="274">
        <f>2+6</f>
        <v>8</v>
      </c>
      <c r="F79" s="267">
        <v>18</v>
      </c>
      <c r="G79" s="290">
        <v>18</v>
      </c>
      <c r="H79" s="290">
        <v>18</v>
      </c>
      <c r="I79" s="267">
        <v>15</v>
      </c>
      <c r="J79" s="274">
        <f>10+6</f>
        <v>16</v>
      </c>
      <c r="K79" s="274">
        <f>9+6</f>
        <v>15</v>
      </c>
      <c r="L79" s="274">
        <f>10+8</f>
        <v>18</v>
      </c>
      <c r="M79" s="274">
        <f>10+7</f>
        <v>17</v>
      </c>
      <c r="N79" s="274">
        <f>12+9</f>
        <v>21</v>
      </c>
      <c r="O79" s="274">
        <f>8.7+8.8</f>
        <v>17.5</v>
      </c>
      <c r="P79" s="274">
        <f>9.3+8.2</f>
        <v>17.5</v>
      </c>
      <c r="Q79" s="282">
        <f t="shared" si="51"/>
        <v>199</v>
      </c>
    </row>
    <row r="80" spans="1:17" x14ac:dyDescent="0.25">
      <c r="A80" s="274" t="s">
        <v>1302</v>
      </c>
      <c r="B80" s="275" t="s">
        <v>1315</v>
      </c>
      <c r="C80" s="274"/>
      <c r="D80" s="275" t="s">
        <v>1309</v>
      </c>
      <c r="E80" s="274">
        <v>26.606999999999999</v>
      </c>
      <c r="F80" s="267">
        <v>25.524000000000001</v>
      </c>
      <c r="G80" s="291">
        <v>90.997</v>
      </c>
      <c r="H80" s="290">
        <v>83.453000000000003</v>
      </c>
      <c r="I80" s="267">
        <v>2.23</v>
      </c>
      <c r="J80" s="274">
        <f>2.626+0.561</f>
        <v>3.1869999999999998</v>
      </c>
      <c r="K80" s="274">
        <f>1.559+0.454</f>
        <v>2.0129999999999999</v>
      </c>
      <c r="L80" s="274">
        <f>2.525+0.769</f>
        <v>3.294</v>
      </c>
      <c r="M80" s="274">
        <f>2.666+0.571</f>
        <v>3.2370000000000001</v>
      </c>
      <c r="N80" s="274">
        <f>3.544+1.259</f>
        <v>4.8029999999999999</v>
      </c>
      <c r="O80" s="274">
        <f>5.505+1.228</f>
        <v>6.7329999999999997</v>
      </c>
      <c r="P80" s="274">
        <f>5.505+1.19</f>
        <v>6.6950000000000003</v>
      </c>
      <c r="Q80" s="282">
        <f t="shared" si="51"/>
        <v>258.77300000000002</v>
      </c>
    </row>
    <row r="81" spans="1:17" x14ac:dyDescent="0.25">
      <c r="A81" s="274" t="s">
        <v>1303</v>
      </c>
      <c r="B81" s="275" t="s">
        <v>1315</v>
      </c>
      <c r="C81" s="274">
        <f>16.74*1.2</f>
        <v>20.087999999999997</v>
      </c>
      <c r="D81" s="275" t="s">
        <v>1301</v>
      </c>
      <c r="E81" s="287">
        <f t="shared" ref="E81:O81" si="54">E79*$C81</f>
        <v>160.70399999999998</v>
      </c>
      <c r="F81" s="287">
        <f t="shared" si="54"/>
        <v>361.58399999999995</v>
      </c>
      <c r="G81" s="287">
        <f t="shared" si="54"/>
        <v>361.58399999999995</v>
      </c>
      <c r="H81" s="287">
        <f t="shared" si="54"/>
        <v>361.58399999999995</v>
      </c>
      <c r="I81" s="287">
        <f t="shared" si="54"/>
        <v>301.31999999999994</v>
      </c>
      <c r="J81" s="287">
        <f t="shared" si="54"/>
        <v>321.40799999999996</v>
      </c>
      <c r="K81" s="287">
        <f t="shared" si="54"/>
        <v>301.31999999999994</v>
      </c>
      <c r="L81" s="287">
        <f t="shared" si="54"/>
        <v>361.58399999999995</v>
      </c>
      <c r="M81" s="287">
        <f t="shared" si="54"/>
        <v>341.49599999999998</v>
      </c>
      <c r="N81" s="287">
        <f t="shared" si="54"/>
        <v>421.84799999999996</v>
      </c>
      <c r="O81" s="287">
        <f t="shared" si="54"/>
        <v>351.53999999999996</v>
      </c>
      <c r="P81" s="287">
        <f>ROUND(P79*$C81,2)</f>
        <v>351.54</v>
      </c>
      <c r="Q81" s="282">
        <f t="shared" si="51"/>
        <v>3997.5119999999993</v>
      </c>
    </row>
    <row r="82" spans="1:17" x14ac:dyDescent="0.25">
      <c r="A82" s="274" t="s">
        <v>1302</v>
      </c>
      <c r="B82" s="275" t="s">
        <v>1315</v>
      </c>
      <c r="C82" s="274">
        <f>16.74*1.2</f>
        <v>20.087999999999997</v>
      </c>
      <c r="D82" s="275" t="s">
        <v>1301</v>
      </c>
      <c r="E82" s="287">
        <f t="shared" ref="E82:O82" si="55">E80*$C82</f>
        <v>534.48141599999997</v>
      </c>
      <c r="F82" s="287">
        <f t="shared" si="55"/>
        <v>512.72611199999994</v>
      </c>
      <c r="G82" s="287">
        <f t="shared" si="55"/>
        <v>1827.9477359999998</v>
      </c>
      <c r="H82" s="287">
        <f t="shared" si="55"/>
        <v>1676.4038639999999</v>
      </c>
      <c r="I82" s="287">
        <f t="shared" si="55"/>
        <v>44.796239999999997</v>
      </c>
      <c r="J82" s="287">
        <f t="shared" si="55"/>
        <v>64.020455999999982</v>
      </c>
      <c r="K82" s="287">
        <f t="shared" si="55"/>
        <v>40.437143999999989</v>
      </c>
      <c r="L82" s="287">
        <f t="shared" si="55"/>
        <v>66.169871999999998</v>
      </c>
      <c r="M82" s="287">
        <f t="shared" si="55"/>
        <v>65.024856</v>
      </c>
      <c r="N82" s="287">
        <f t="shared" si="55"/>
        <v>96.482663999999986</v>
      </c>
      <c r="O82" s="287">
        <f t="shared" si="55"/>
        <v>135.25250399999999</v>
      </c>
      <c r="P82" s="287">
        <f>ROUND(P80*$C82,2)</f>
        <v>134.49</v>
      </c>
      <c r="Q82" s="282">
        <f t="shared" si="51"/>
        <v>5198.2328640000005</v>
      </c>
    </row>
    <row r="83" spans="1:17" x14ac:dyDescent="0.25">
      <c r="A83" s="274" t="s">
        <v>1303</v>
      </c>
      <c r="B83" s="266" t="s">
        <v>1314</v>
      </c>
      <c r="C83" s="274"/>
      <c r="D83" s="275" t="s">
        <v>1309</v>
      </c>
      <c r="E83" s="289">
        <f>8.015</f>
        <v>8.0150000000000006</v>
      </c>
      <c r="F83" s="289">
        <f>43.524+26.607</f>
        <v>70.131</v>
      </c>
      <c r="G83" s="289">
        <v>108.998</v>
      </c>
      <c r="H83" s="289">
        <v>101.45399999999999</v>
      </c>
      <c r="I83" s="289">
        <v>17.23</v>
      </c>
      <c r="J83" s="274">
        <v>19.187000000000001</v>
      </c>
      <c r="K83" s="274">
        <v>17.013000000000002</v>
      </c>
      <c r="L83" s="274">
        <v>21.294</v>
      </c>
      <c r="M83" s="274">
        <v>20.236999999999998</v>
      </c>
      <c r="N83" s="274">
        <v>25.803000000000001</v>
      </c>
      <c r="O83" s="274">
        <v>24.233000000000001</v>
      </c>
      <c r="P83" s="274">
        <v>24.195</v>
      </c>
      <c r="Q83" s="282">
        <f t="shared" si="51"/>
        <v>457.79</v>
      </c>
    </row>
    <row r="84" spans="1:17" x14ac:dyDescent="0.25">
      <c r="A84" s="274" t="s">
        <v>1302</v>
      </c>
      <c r="B84" s="266" t="s">
        <v>1314</v>
      </c>
      <c r="C84" s="274"/>
      <c r="D84" s="275" t="s">
        <v>1309</v>
      </c>
      <c r="E84" s="274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Q84" s="282">
        <f t="shared" si="51"/>
        <v>0</v>
      </c>
    </row>
    <row r="85" spans="1:17" x14ac:dyDescent="0.25">
      <c r="A85" s="274" t="s">
        <v>1303</v>
      </c>
      <c r="B85" s="266" t="s">
        <v>1314</v>
      </c>
      <c r="C85" s="274">
        <f>8.37*1.2</f>
        <v>10.043999999999999</v>
      </c>
      <c r="D85" s="275" t="s">
        <v>1301</v>
      </c>
      <c r="E85" s="287">
        <f>ROUND(E83*$C85,2)</f>
        <v>80.5</v>
      </c>
      <c r="F85" s="287">
        <f>ROUND(F83*$C85,2)</f>
        <v>704.4</v>
      </c>
      <c r="G85" s="287">
        <f>ROUND(G83*$C85,2)</f>
        <v>1094.78</v>
      </c>
      <c r="H85" s="287">
        <f>ROUND(H83*$C85,2)</f>
        <v>1019</v>
      </c>
      <c r="I85" s="287">
        <f>ROUND(I83*$C85,2)</f>
        <v>173.06</v>
      </c>
      <c r="J85" s="288">
        <f>ROUND(J83*$C85,2)+0.01</f>
        <v>192.72</v>
      </c>
      <c r="K85" s="287">
        <f>ROUND(K83*$C85,2)</f>
        <v>170.88</v>
      </c>
      <c r="L85" s="287">
        <f>ROUND(L83*$C85,2)</f>
        <v>213.88</v>
      </c>
      <c r="M85" s="288">
        <f>ROUND(M83*$C85,2)+0.01</f>
        <v>203.26999999999998</v>
      </c>
      <c r="N85" s="287">
        <f>ROUND(N83*$C85,2)</f>
        <v>259.17</v>
      </c>
      <c r="O85" s="287">
        <f>ROUND(O83*$C85,2)</f>
        <v>243.4</v>
      </c>
      <c r="P85" s="287">
        <f>ROUND(P83*$C85,2)</f>
        <v>243.01</v>
      </c>
      <c r="Q85" s="282">
        <f t="shared" si="51"/>
        <v>4598.07</v>
      </c>
    </row>
    <row r="86" spans="1:17" x14ac:dyDescent="0.25">
      <c r="A86" s="274" t="s">
        <v>1302</v>
      </c>
      <c r="B86" s="266" t="s">
        <v>1314</v>
      </c>
      <c r="C86" s="274">
        <f>8.37*1.2</f>
        <v>10.043999999999999</v>
      </c>
      <c r="D86" s="275" t="s">
        <v>1301</v>
      </c>
      <c r="E86" s="287">
        <f t="shared" ref="E86:P86" si="56">E84*$C86</f>
        <v>0</v>
      </c>
      <c r="F86" s="287">
        <f t="shared" si="56"/>
        <v>0</v>
      </c>
      <c r="G86" s="287">
        <f t="shared" si="56"/>
        <v>0</v>
      </c>
      <c r="H86" s="287">
        <f t="shared" si="56"/>
        <v>0</v>
      </c>
      <c r="I86" s="287">
        <f t="shared" si="56"/>
        <v>0</v>
      </c>
      <c r="J86" s="287">
        <f t="shared" si="56"/>
        <v>0</v>
      </c>
      <c r="K86" s="287">
        <f t="shared" si="56"/>
        <v>0</v>
      </c>
      <c r="L86" s="287">
        <f t="shared" si="56"/>
        <v>0</v>
      </c>
      <c r="M86" s="287">
        <f t="shared" si="56"/>
        <v>0</v>
      </c>
      <c r="N86" s="287">
        <f t="shared" si="56"/>
        <v>0</v>
      </c>
      <c r="O86" s="287">
        <f t="shared" si="56"/>
        <v>0</v>
      </c>
      <c r="P86" s="287">
        <f t="shared" si="56"/>
        <v>0</v>
      </c>
      <c r="Q86" s="282">
        <f t="shared" si="51"/>
        <v>0</v>
      </c>
    </row>
    <row r="87" spans="1:17" s="283" customFormat="1" x14ac:dyDescent="0.25">
      <c r="A87" s="286" t="s">
        <v>1313</v>
      </c>
      <c r="B87" s="285"/>
      <c r="C87" s="286"/>
      <c r="D87" s="285"/>
      <c r="E87" s="284"/>
      <c r="F87" s="284">
        <f>138.18+1259.18+1293.71+1462.16</f>
        <v>4153.2300000000005</v>
      </c>
      <c r="G87" s="284"/>
      <c r="H87" s="284"/>
      <c r="I87" s="284"/>
      <c r="J87" s="284"/>
      <c r="K87" s="284"/>
      <c r="L87" s="284"/>
      <c r="M87" s="284"/>
      <c r="N87" s="284"/>
      <c r="O87" s="284"/>
      <c r="P87" s="284"/>
      <c r="Q87" s="284">
        <f t="shared" si="51"/>
        <v>4153.2300000000005</v>
      </c>
    </row>
    <row r="88" spans="1:17" s="283" customFormat="1" x14ac:dyDescent="0.25">
      <c r="A88" s="286" t="s">
        <v>1312</v>
      </c>
      <c r="B88" s="285"/>
      <c r="C88" s="286"/>
      <c r="D88" s="285"/>
      <c r="E88" s="284"/>
      <c r="F88" s="284"/>
      <c r="G88" s="284"/>
      <c r="H88" s="284"/>
      <c r="I88" s="284"/>
      <c r="J88" s="284">
        <v>104.79</v>
      </c>
      <c r="K88" s="284"/>
      <c r="L88" s="284"/>
      <c r="M88" s="284"/>
      <c r="N88" s="284"/>
      <c r="O88" s="284"/>
      <c r="P88" s="284"/>
      <c r="Q88" s="284">
        <f t="shared" si="51"/>
        <v>104.79</v>
      </c>
    </row>
    <row r="89" spans="1:17" s="283" customFormat="1" x14ac:dyDescent="0.25">
      <c r="A89" s="286" t="s">
        <v>1311</v>
      </c>
      <c r="B89" s="285"/>
      <c r="C89" s="286"/>
      <c r="D89" s="285"/>
      <c r="E89" s="284"/>
      <c r="F89" s="284">
        <f>27.2+281.39+298.64+333.44</f>
        <v>940.67000000000007</v>
      </c>
      <c r="G89" s="284"/>
      <c r="H89" s="284"/>
      <c r="I89" s="284"/>
      <c r="J89" s="284"/>
      <c r="K89" s="284"/>
      <c r="L89" s="284"/>
      <c r="M89" s="284"/>
      <c r="N89" s="284"/>
      <c r="O89" s="284"/>
      <c r="P89" s="284"/>
      <c r="Q89" s="284">
        <f t="shared" si="51"/>
        <v>940.67000000000007</v>
      </c>
    </row>
    <row r="90" spans="1:17" s="281" customFormat="1" x14ac:dyDescent="0.25">
      <c r="A90" s="267"/>
      <c r="B90" s="266"/>
      <c r="C90" s="267"/>
      <c r="D90" s="266"/>
      <c r="E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82"/>
    </row>
    <row r="91" spans="1:17" x14ac:dyDescent="0.25">
      <c r="A91" s="271" t="s">
        <v>1310</v>
      </c>
      <c r="B91" s="270"/>
      <c r="C91" s="269"/>
      <c r="D91" s="269"/>
      <c r="E91" s="269"/>
      <c r="F91" s="269"/>
      <c r="G91" s="269"/>
      <c r="H91" s="269"/>
      <c r="I91" s="269"/>
      <c r="J91" s="269"/>
      <c r="K91" s="269"/>
      <c r="L91" s="269"/>
      <c r="M91" s="269"/>
      <c r="N91" s="269"/>
      <c r="O91" s="269"/>
      <c r="P91" s="269"/>
      <c r="Q91" s="269"/>
    </row>
    <row r="92" spans="1:17" x14ac:dyDescent="0.25">
      <c r="A92" s="267" t="s">
        <v>1303</v>
      </c>
      <c r="B92" s="266"/>
      <c r="C92" s="267"/>
      <c r="D92" s="266" t="s">
        <v>1309</v>
      </c>
      <c r="E92" s="280">
        <v>2.4649999999999999</v>
      </c>
      <c r="F92" s="280">
        <v>2.4649999999999999</v>
      </c>
      <c r="G92" s="280">
        <v>2.4649999999999999</v>
      </c>
      <c r="H92" s="280">
        <v>2.4649999999999999</v>
      </c>
      <c r="I92" s="280">
        <v>2.4649999999999999</v>
      </c>
      <c r="J92" s="280">
        <v>2.4649999999999999</v>
      </c>
      <c r="K92" s="280">
        <v>2.4649999999999999</v>
      </c>
      <c r="L92" s="280">
        <v>2.4649999999999999</v>
      </c>
      <c r="M92" s="280">
        <v>2.4649999999999999</v>
      </c>
      <c r="N92" s="280">
        <v>2.4649999999999999</v>
      </c>
      <c r="O92" s="280">
        <v>2.4649999999999999</v>
      </c>
      <c r="P92" s="280">
        <v>2.4649999999999999</v>
      </c>
      <c r="Q92" s="267"/>
    </row>
    <row r="93" spans="1:17" x14ac:dyDescent="0.25">
      <c r="A93" s="267" t="s">
        <v>1302</v>
      </c>
      <c r="B93" s="266"/>
      <c r="C93" s="267"/>
      <c r="D93" s="266" t="s">
        <v>1309</v>
      </c>
      <c r="E93" s="280"/>
      <c r="F93" s="280"/>
      <c r="G93" s="280">
        <v>3.7919999999999998</v>
      </c>
      <c r="H93" s="280">
        <v>3.7919999999999998</v>
      </c>
      <c r="I93" s="280">
        <v>3.7919999999999998</v>
      </c>
      <c r="J93" s="280">
        <v>3.7919999999999998</v>
      </c>
      <c r="K93" s="280">
        <v>3.7919999999999998</v>
      </c>
      <c r="L93" s="280">
        <v>3.7919999999999998</v>
      </c>
      <c r="M93" s="280">
        <v>3.7919999999999998</v>
      </c>
      <c r="N93" s="280">
        <v>3.7919999999999998</v>
      </c>
      <c r="O93" s="280">
        <v>3.7919999999999998</v>
      </c>
      <c r="P93" s="280">
        <v>3.7919999999999998</v>
      </c>
      <c r="Q93" s="267"/>
    </row>
    <row r="94" spans="1:17" x14ac:dyDescent="0.25">
      <c r="A94" s="267" t="s">
        <v>1303</v>
      </c>
      <c r="B94" s="266"/>
      <c r="C94" s="267">
        <f>1314.66</f>
        <v>1314.66</v>
      </c>
      <c r="D94" s="266" t="s">
        <v>1301</v>
      </c>
      <c r="E94" s="265">
        <f t="shared" ref="E94:P94" si="57">ROUND(E92*$C94,2)</f>
        <v>3240.64</v>
      </c>
      <c r="F94" s="265">
        <f t="shared" si="57"/>
        <v>3240.64</v>
      </c>
      <c r="G94" s="265">
        <f t="shared" si="57"/>
        <v>3240.64</v>
      </c>
      <c r="H94" s="265">
        <f t="shared" si="57"/>
        <v>3240.64</v>
      </c>
      <c r="I94" s="265">
        <f t="shared" si="57"/>
        <v>3240.64</v>
      </c>
      <c r="J94" s="265">
        <f t="shared" si="57"/>
        <v>3240.64</v>
      </c>
      <c r="K94" s="265">
        <f t="shared" si="57"/>
        <v>3240.64</v>
      </c>
      <c r="L94" s="265">
        <f t="shared" si="57"/>
        <v>3240.64</v>
      </c>
      <c r="M94" s="265">
        <f t="shared" si="57"/>
        <v>3240.64</v>
      </c>
      <c r="N94" s="265">
        <f t="shared" si="57"/>
        <v>3240.64</v>
      </c>
      <c r="O94" s="265">
        <f t="shared" si="57"/>
        <v>3240.64</v>
      </c>
      <c r="P94" s="265">
        <f t="shared" si="57"/>
        <v>3240.64</v>
      </c>
      <c r="Q94" s="264">
        <f>SUM(E94:P94)</f>
        <v>38887.68</v>
      </c>
    </row>
    <row r="95" spans="1:17" x14ac:dyDescent="0.25">
      <c r="A95" s="267" t="s">
        <v>1302</v>
      </c>
      <c r="B95" s="266"/>
      <c r="C95" s="267">
        <f>1275.19*1.2</f>
        <v>1530.2280000000001</v>
      </c>
      <c r="D95" s="266" t="s">
        <v>1301</v>
      </c>
      <c r="E95" s="265">
        <f t="shared" ref="E95:P95" si="58">ROUND(E93*$C95,2)</f>
        <v>0</v>
      </c>
      <c r="F95" s="265">
        <f t="shared" si="58"/>
        <v>0</v>
      </c>
      <c r="G95" s="265">
        <f t="shared" si="58"/>
        <v>5802.62</v>
      </c>
      <c r="H95" s="265">
        <f t="shared" si="58"/>
        <v>5802.62</v>
      </c>
      <c r="I95" s="265">
        <f t="shared" si="58"/>
        <v>5802.62</v>
      </c>
      <c r="J95" s="265">
        <f t="shared" si="58"/>
        <v>5802.62</v>
      </c>
      <c r="K95" s="265">
        <f t="shared" si="58"/>
        <v>5802.62</v>
      </c>
      <c r="L95" s="265">
        <f t="shared" si="58"/>
        <v>5802.62</v>
      </c>
      <c r="M95" s="265">
        <f t="shared" si="58"/>
        <v>5802.62</v>
      </c>
      <c r="N95" s="265">
        <f t="shared" si="58"/>
        <v>5802.62</v>
      </c>
      <c r="O95" s="265">
        <f t="shared" si="58"/>
        <v>5802.62</v>
      </c>
      <c r="P95" s="265">
        <f t="shared" si="58"/>
        <v>5802.62</v>
      </c>
      <c r="Q95" s="264">
        <f>SUM(E95:P95)</f>
        <v>58026.200000000012</v>
      </c>
    </row>
    <row r="96" spans="1:17" x14ac:dyDescent="0.25">
      <c r="A96" s="274"/>
      <c r="B96" s="275"/>
      <c r="C96" s="274"/>
      <c r="D96" s="275"/>
      <c r="E96" s="274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Q96" s="274"/>
    </row>
    <row r="97" spans="1:17" s="277" customFormat="1" x14ac:dyDescent="0.25">
      <c r="A97" s="271" t="s">
        <v>1308</v>
      </c>
      <c r="B97" s="279"/>
      <c r="C97" s="271"/>
      <c r="D97" s="271" t="s">
        <v>1307</v>
      </c>
      <c r="E97" s="278">
        <v>1.728</v>
      </c>
      <c r="F97" s="278">
        <v>1.837</v>
      </c>
      <c r="G97" s="278">
        <v>1.097</v>
      </c>
      <c r="H97" s="278">
        <v>1.1319999999999999</v>
      </c>
      <c r="I97" s="278">
        <v>1.0780000000000001</v>
      </c>
      <c r="J97" s="278">
        <v>1.2250000000000001</v>
      </c>
      <c r="K97" s="278">
        <v>0.81899999999999995</v>
      </c>
      <c r="L97" s="278">
        <v>1.391</v>
      </c>
      <c r="M97" s="278">
        <v>1.0369999999999999</v>
      </c>
      <c r="N97" s="278">
        <v>1.151</v>
      </c>
      <c r="O97" s="278">
        <v>1.159</v>
      </c>
      <c r="P97" s="278">
        <v>1.42</v>
      </c>
      <c r="Q97" s="271"/>
    </row>
    <row r="98" spans="1:17" x14ac:dyDescent="0.25">
      <c r="A98" s="267" t="s">
        <v>1303</v>
      </c>
      <c r="B98" s="266"/>
      <c r="C98" s="267"/>
      <c r="D98" s="267" t="s">
        <v>1306</v>
      </c>
      <c r="E98" s="265">
        <f>8066.32*1.2</f>
        <v>9679.5839999999989</v>
      </c>
      <c r="F98" s="265">
        <f>8488.24*1.2</f>
        <v>10185.887999999999</v>
      </c>
      <c r="G98" s="265">
        <f>8189.81*1.2</f>
        <v>9827.7720000000008</v>
      </c>
      <c r="H98" s="265">
        <f>8124.03*1.2</f>
        <v>9748.8359999999993</v>
      </c>
      <c r="I98" s="265">
        <f>8014.3*1.2</f>
        <v>9617.16</v>
      </c>
      <c r="J98" s="265">
        <f>7807.58*1.2</f>
        <v>9369.0959999999995</v>
      </c>
      <c r="K98" s="265">
        <f>7744.26*1.2</f>
        <v>9293.1119999999992</v>
      </c>
      <c r="L98" s="265">
        <f>7544.57*1.2</f>
        <v>9053.4839999999986</v>
      </c>
      <c r="M98" s="265">
        <f>7905.14*1.2</f>
        <v>9486.1679999999997</v>
      </c>
      <c r="N98" s="265">
        <f>7696.52*1.2</f>
        <v>9235.8240000000005</v>
      </c>
      <c r="O98" s="265">
        <f>8019.98*1.2</f>
        <v>9623.9759999999987</v>
      </c>
      <c r="P98" s="265">
        <f>8011.53*1.2</f>
        <v>9613.8359999999993</v>
      </c>
      <c r="Q98" s="267"/>
    </row>
    <row r="99" spans="1:17" x14ac:dyDescent="0.25">
      <c r="A99" s="267" t="s">
        <v>1303</v>
      </c>
      <c r="B99" s="266"/>
      <c r="C99" s="267"/>
      <c r="D99" s="267" t="s">
        <v>1301</v>
      </c>
      <c r="E99" s="265">
        <f>ROUND(E97*E98,2)</f>
        <v>16726.32</v>
      </c>
      <c r="F99" s="265">
        <f>ROUND(F97*F98,2)</f>
        <v>18711.48</v>
      </c>
      <c r="G99" s="276">
        <f>ROUND(G97*G98,2)-0.01</f>
        <v>10781.06</v>
      </c>
      <c r="H99" s="265">
        <f>ROUND(H97*H98,2)</f>
        <v>11035.68</v>
      </c>
      <c r="I99" s="265">
        <f>ROUND(I97*I98,2)</f>
        <v>10367.299999999999</v>
      </c>
      <c r="J99" s="276">
        <f>ROUND(J97*J98,2)+0.01</f>
        <v>11477.15</v>
      </c>
      <c r="K99" s="265">
        <f>ROUND(K97*K98,2)</f>
        <v>7611.06</v>
      </c>
      <c r="L99" s="265">
        <f>ROUND(L97*L98,2)</f>
        <v>12593.4</v>
      </c>
      <c r="M99" s="265">
        <f>ROUND(M97*M98,2)</f>
        <v>9837.16</v>
      </c>
      <c r="N99" s="265">
        <f>ROUND(N97*N98,2)</f>
        <v>10630.43</v>
      </c>
      <c r="O99" s="265">
        <f>ROUND(O97*O98,2)</f>
        <v>11154.19</v>
      </c>
      <c r="P99" s="276">
        <f>ROUND(P97*P98,2)-0.01</f>
        <v>13651.64</v>
      </c>
      <c r="Q99" s="264">
        <f>SUM(E99:P99)</f>
        <v>144576.87</v>
      </c>
    </row>
    <row r="100" spans="1:17" x14ac:dyDescent="0.25">
      <c r="A100" s="274"/>
      <c r="B100" s="275"/>
      <c r="C100" s="274"/>
      <c r="D100" s="275"/>
      <c r="E100" s="274"/>
      <c r="F100" s="274"/>
      <c r="G100" s="274"/>
      <c r="H100" s="274"/>
      <c r="I100" s="274"/>
      <c r="J100" s="274"/>
      <c r="K100" s="274"/>
      <c r="L100" s="274"/>
      <c r="M100" s="274"/>
      <c r="N100" s="274"/>
      <c r="O100" s="274"/>
      <c r="P100" s="274"/>
      <c r="Q100" s="274"/>
    </row>
    <row r="101" spans="1:17" x14ac:dyDescent="0.25">
      <c r="A101" s="272"/>
      <c r="B101" s="273"/>
      <c r="C101" s="272"/>
      <c r="D101" s="273"/>
      <c r="E101" s="272"/>
      <c r="F101" s="272"/>
      <c r="G101" s="272"/>
      <c r="H101" s="272"/>
      <c r="I101" s="272"/>
      <c r="J101" s="272"/>
      <c r="K101" s="272"/>
      <c r="L101" s="272"/>
      <c r="M101" s="272"/>
      <c r="N101" s="272"/>
      <c r="O101" s="272"/>
      <c r="P101" s="272"/>
      <c r="Q101" s="272"/>
    </row>
    <row r="102" spans="1:17" x14ac:dyDescent="0.25">
      <c r="A102" s="271" t="s">
        <v>1305</v>
      </c>
      <c r="B102" s="270"/>
      <c r="C102" s="269"/>
      <c r="D102" s="270"/>
      <c r="E102" s="269"/>
      <c r="F102" s="269"/>
      <c r="G102" s="269"/>
      <c r="H102" s="269"/>
      <c r="I102" s="269"/>
      <c r="J102" s="269"/>
      <c r="K102" s="269"/>
      <c r="L102" s="269"/>
      <c r="M102" s="269"/>
      <c r="N102" s="269"/>
      <c r="O102" s="269"/>
      <c r="P102" s="269"/>
      <c r="Q102" s="269"/>
    </row>
    <row r="103" spans="1:17" x14ac:dyDescent="0.25">
      <c r="A103" s="267" t="s">
        <v>1303</v>
      </c>
      <c r="B103" s="266"/>
      <c r="C103" s="267"/>
      <c r="D103" s="266" t="s">
        <v>1304</v>
      </c>
      <c r="E103" s="268">
        <v>246.5</v>
      </c>
      <c r="F103" s="268">
        <v>246.5</v>
      </c>
      <c r="G103" s="268">
        <v>246.5</v>
      </c>
      <c r="H103" s="268">
        <v>246.5</v>
      </c>
      <c r="I103" s="268">
        <v>246.5</v>
      </c>
      <c r="J103" s="268">
        <v>246.5</v>
      </c>
      <c r="K103" s="268">
        <v>246.5</v>
      </c>
      <c r="L103" s="268">
        <v>246.5</v>
      </c>
      <c r="M103" s="268">
        <v>246.5</v>
      </c>
      <c r="N103" s="268">
        <v>246.5</v>
      </c>
      <c r="O103" s="268">
        <v>246.5</v>
      </c>
      <c r="P103" s="268">
        <v>246.5</v>
      </c>
      <c r="Q103" s="267"/>
    </row>
    <row r="104" spans="1:17" x14ac:dyDescent="0.25">
      <c r="A104" s="267" t="s">
        <v>1302</v>
      </c>
      <c r="B104" s="266"/>
      <c r="C104" s="267"/>
      <c r="D104" s="266" t="s">
        <v>1304</v>
      </c>
      <c r="E104" s="268">
        <v>379.2</v>
      </c>
      <c r="F104" s="268">
        <v>379.2</v>
      </c>
      <c r="G104" s="268">
        <v>379.2</v>
      </c>
      <c r="H104" s="268">
        <v>379.2</v>
      </c>
      <c r="I104" s="268">
        <v>379.2</v>
      </c>
      <c r="J104" s="268">
        <v>379.2</v>
      </c>
      <c r="K104" s="268">
        <v>379.2</v>
      </c>
      <c r="L104" s="268">
        <v>379.2</v>
      </c>
      <c r="M104" s="268">
        <v>379.2</v>
      </c>
      <c r="N104" s="268">
        <v>379.2</v>
      </c>
      <c r="O104" s="268">
        <v>379.2</v>
      </c>
      <c r="P104" s="268">
        <v>379.2</v>
      </c>
      <c r="Q104" s="267"/>
    </row>
    <row r="105" spans="1:17" x14ac:dyDescent="0.25">
      <c r="A105" s="267" t="s">
        <v>1303</v>
      </c>
      <c r="B105" s="266"/>
      <c r="C105" s="267"/>
      <c r="D105" s="266" t="s">
        <v>1301</v>
      </c>
      <c r="E105" s="265">
        <f>2820.38+1937.49+152.03</f>
        <v>4909.8999999999996</v>
      </c>
      <c r="F105" s="265">
        <f>4757.89+152.04</f>
        <v>4909.93</v>
      </c>
      <c r="G105" s="265">
        <v>4605.8500000000004</v>
      </c>
      <c r="H105" s="265">
        <v>4757.8900000000003</v>
      </c>
      <c r="I105" s="265">
        <v>4757.8900000000003</v>
      </c>
      <c r="J105" s="265">
        <v>4757.8900000000003</v>
      </c>
      <c r="K105" s="265">
        <v>4757.8900000000003</v>
      </c>
      <c r="L105" s="265">
        <v>4757.8900000000003</v>
      </c>
      <c r="M105" s="265">
        <v>4757.8900000000003</v>
      </c>
      <c r="N105" s="265">
        <v>4757.8900000000003</v>
      </c>
      <c r="O105" s="265">
        <v>4757.8900000000003</v>
      </c>
      <c r="P105" s="265">
        <v>4757.8900000000003</v>
      </c>
      <c r="Q105" s="264">
        <f>SUM(E105:P105)</f>
        <v>57246.689999999995</v>
      </c>
    </row>
    <row r="106" spans="1:17" x14ac:dyDescent="0.25">
      <c r="A106" s="267" t="s">
        <v>1302</v>
      </c>
      <c r="B106" s="266"/>
      <c r="C106" s="267"/>
      <c r="D106" s="266" t="s">
        <v>1301</v>
      </c>
      <c r="E106" s="265">
        <v>11493.17</v>
      </c>
      <c r="F106" s="265">
        <f>E106</f>
        <v>11493.17</v>
      </c>
      <c r="G106" s="265">
        <f>F106</f>
        <v>11493.17</v>
      </c>
      <c r="H106" s="265">
        <v>11493.17</v>
      </c>
      <c r="I106" s="265">
        <v>11493.17</v>
      </c>
      <c r="J106" s="265">
        <v>11493.17</v>
      </c>
      <c r="K106" s="265">
        <v>11493.17</v>
      </c>
      <c r="L106" s="265">
        <v>11493.17</v>
      </c>
      <c r="M106" s="265">
        <v>11493.17</v>
      </c>
      <c r="N106" s="265">
        <v>11493.17</v>
      </c>
      <c r="O106" s="265">
        <v>11493.17</v>
      </c>
      <c r="P106" s="265">
        <v>10778.46</v>
      </c>
      <c r="Q106" s="264">
        <f>SUM(E106:P106)</f>
        <v>137203.32999999999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F45"/>
  <sheetViews>
    <sheetView view="pageBreakPreview" zoomScale="80" zoomScaleNormal="80" zoomScaleSheetLayoutView="80" workbookViewId="0">
      <pane xSplit="2" ySplit="8" topLeftCell="C30" activePane="bottomRight" state="frozen"/>
      <selection activeCell="A42" sqref="A42:XFD42"/>
      <selection pane="topRight" activeCell="A42" sqref="A42:XFD42"/>
      <selection pane="bottomLeft" activeCell="A42" sqref="A42:XFD42"/>
      <selection pane="bottomRight" activeCell="C40" sqref="C40"/>
    </sheetView>
  </sheetViews>
  <sheetFormatPr defaultRowHeight="12.75" x14ac:dyDescent="0.2"/>
  <cols>
    <col min="1" max="1" width="35" style="140" customWidth="1"/>
    <col min="2" max="6" width="15.7109375" style="140" customWidth="1"/>
    <col min="7" max="16384" width="9.140625" style="140"/>
  </cols>
  <sheetData>
    <row r="1" spans="1:6" s="143" customFormat="1" ht="18.75" x14ac:dyDescent="0.3">
      <c r="A1" s="415" t="s">
        <v>1041</v>
      </c>
      <c r="B1" s="415"/>
      <c r="C1" s="415"/>
      <c r="D1" s="415"/>
      <c r="E1" s="415"/>
      <c r="F1" s="415"/>
    </row>
    <row r="2" spans="1:6" s="143" customFormat="1" ht="18.75" x14ac:dyDescent="0.3">
      <c r="A2" s="416" t="s">
        <v>1494</v>
      </c>
      <c r="B2" s="416"/>
      <c r="C2" s="416"/>
      <c r="D2" s="416"/>
      <c r="E2" s="416"/>
      <c r="F2" s="416"/>
    </row>
    <row r="3" spans="1:6" s="143" customFormat="1" ht="18.75" x14ac:dyDescent="0.3">
      <c r="A3" s="144"/>
    </row>
    <row r="4" spans="1:6" s="143" customFormat="1" ht="18.75" x14ac:dyDescent="0.3">
      <c r="A4" s="417" t="s">
        <v>1042</v>
      </c>
      <c r="B4" s="417"/>
      <c r="C4" s="417"/>
      <c r="D4" s="417"/>
      <c r="E4" s="417"/>
      <c r="F4" s="417"/>
    </row>
    <row r="6" spans="1:6" x14ac:dyDescent="0.2">
      <c r="A6" s="422" t="s">
        <v>40</v>
      </c>
      <c r="B6" s="422" t="s">
        <v>9</v>
      </c>
      <c r="C6" s="422" t="s">
        <v>1008</v>
      </c>
      <c r="D6" s="422"/>
      <c r="E6" s="422" t="s">
        <v>1009</v>
      </c>
      <c r="F6" s="422" t="s">
        <v>1010</v>
      </c>
    </row>
    <row r="7" spans="1:6" ht="38.25" x14ac:dyDescent="0.2">
      <c r="A7" s="422"/>
      <c r="B7" s="422"/>
      <c r="C7" s="141" t="s">
        <v>1495</v>
      </c>
      <c r="D7" s="141" t="s">
        <v>1496</v>
      </c>
      <c r="E7" s="422"/>
      <c r="F7" s="422"/>
    </row>
    <row r="8" spans="1:6" x14ac:dyDescent="0.2">
      <c r="A8" s="141">
        <v>1</v>
      </c>
      <c r="B8" s="141">
        <v>2</v>
      </c>
      <c r="C8" s="141">
        <v>3</v>
      </c>
      <c r="D8" s="141">
        <v>4</v>
      </c>
      <c r="E8" s="141">
        <v>5</v>
      </c>
      <c r="F8" s="141">
        <v>6</v>
      </c>
    </row>
    <row r="9" spans="1:6" ht="25.5" x14ac:dyDescent="0.2">
      <c r="A9" s="142" t="s">
        <v>1011</v>
      </c>
      <c r="B9" s="257" t="s">
        <v>1357</v>
      </c>
      <c r="C9" s="349">
        <v>11030651.43</v>
      </c>
      <c r="D9" s="255">
        <v>30324420</v>
      </c>
      <c r="E9" s="151">
        <f>IF(C9="","",IFERROR(C9/D9,))</f>
        <v>0.36375473727114976</v>
      </c>
      <c r="F9" s="151">
        <f>IF(E9="","",C9/$C$45)</f>
        <v>0.24188295841337107</v>
      </c>
    </row>
    <row r="10" spans="1:6" ht="63.75" x14ac:dyDescent="0.2">
      <c r="A10" s="142" t="s">
        <v>1012</v>
      </c>
      <c r="B10" s="257" t="s">
        <v>1358</v>
      </c>
      <c r="C10" s="349"/>
      <c r="D10" s="255"/>
      <c r="E10" s="151" t="str">
        <f t="shared" ref="E10:E13" si="0">IF(C10="","",IFERROR(C10/D10,))</f>
        <v/>
      </c>
      <c r="F10" s="151" t="str">
        <f t="shared" ref="F10:F41" si="1">IF(E10="","",C10/$C$45)</f>
        <v/>
      </c>
    </row>
    <row r="11" spans="1:6" x14ac:dyDescent="0.2">
      <c r="A11" s="142" t="s">
        <v>1013</v>
      </c>
      <c r="B11" s="257" t="s">
        <v>1359</v>
      </c>
      <c r="C11" s="349">
        <v>20578461.199999999</v>
      </c>
      <c r="D11" s="255">
        <v>13220000</v>
      </c>
      <c r="E11" s="151">
        <f t="shared" si="0"/>
        <v>1.5566158245083206</v>
      </c>
      <c r="F11" s="151">
        <f t="shared" si="1"/>
        <v>0.45124978395321935</v>
      </c>
    </row>
    <row r="12" spans="1:6" ht="25.5" x14ac:dyDescent="0.2">
      <c r="A12" s="142" t="s">
        <v>1014</v>
      </c>
      <c r="B12" s="257" t="s">
        <v>1378</v>
      </c>
      <c r="C12" s="349"/>
      <c r="D12" s="255"/>
      <c r="E12" s="151" t="str">
        <f t="shared" si="0"/>
        <v/>
      </c>
      <c r="F12" s="151" t="str">
        <f t="shared" si="1"/>
        <v/>
      </c>
    </row>
    <row r="13" spans="1:6" x14ac:dyDescent="0.2">
      <c r="A13" s="145" t="s">
        <v>1015</v>
      </c>
      <c r="B13" s="257" t="s">
        <v>1379</v>
      </c>
      <c r="C13" s="349">
        <f>SUM(C14:C16)</f>
        <v>0</v>
      </c>
      <c r="D13" s="149">
        <f>SUM(D14:D16)</f>
        <v>0</v>
      </c>
      <c r="E13" s="151">
        <f t="shared" si="0"/>
        <v>0</v>
      </c>
      <c r="F13" s="151">
        <f t="shared" si="1"/>
        <v>0</v>
      </c>
    </row>
    <row r="14" spans="1:6" x14ac:dyDescent="0.2">
      <c r="A14" s="145" t="s">
        <v>54</v>
      </c>
      <c r="B14" s="418" t="s">
        <v>1380</v>
      </c>
      <c r="C14" s="419"/>
      <c r="D14" s="419"/>
      <c r="E14" s="420" t="str">
        <f>IF(C14="","",IFERROR(C14/D14,))</f>
        <v/>
      </c>
      <c r="F14" s="420" t="str">
        <f t="shared" si="1"/>
        <v/>
      </c>
    </row>
    <row r="15" spans="1:6" ht="25.5" x14ac:dyDescent="0.2">
      <c r="A15" s="148" t="s">
        <v>1016</v>
      </c>
      <c r="B15" s="418"/>
      <c r="C15" s="419"/>
      <c r="D15" s="419"/>
      <c r="E15" s="421"/>
      <c r="F15" s="421"/>
    </row>
    <row r="16" spans="1:6" ht="38.25" x14ac:dyDescent="0.2">
      <c r="A16" s="148" t="s">
        <v>1017</v>
      </c>
      <c r="B16" s="257" t="s">
        <v>1381</v>
      </c>
      <c r="C16" s="349"/>
      <c r="D16" s="255"/>
      <c r="E16" s="151" t="str">
        <f>IF(C16="","",IFERROR(C16/D16,))</f>
        <v/>
      </c>
      <c r="F16" s="151" t="str">
        <f t="shared" si="1"/>
        <v/>
      </c>
    </row>
    <row r="17" spans="1:6" ht="76.5" x14ac:dyDescent="0.2">
      <c r="A17" s="145" t="s">
        <v>1018</v>
      </c>
      <c r="B17" s="257" t="s">
        <v>1382</v>
      </c>
      <c r="C17" s="349"/>
      <c r="D17" s="255"/>
      <c r="E17" s="151" t="str">
        <f t="shared" ref="E17" si="2">IF(C17="","",IFERROR(C17/D17,))</f>
        <v/>
      </c>
      <c r="F17" s="151" t="str">
        <f t="shared" si="1"/>
        <v/>
      </c>
    </row>
    <row r="18" spans="1:6" x14ac:dyDescent="0.2">
      <c r="A18" s="145" t="s">
        <v>59</v>
      </c>
      <c r="B18" s="418" t="s">
        <v>1383</v>
      </c>
      <c r="C18" s="419"/>
      <c r="D18" s="419"/>
      <c r="E18" s="420" t="str">
        <f>IF(C18="","",IFERROR(C18/D18,))</f>
        <v/>
      </c>
      <c r="F18" s="420" t="str">
        <f t="shared" si="1"/>
        <v/>
      </c>
    </row>
    <row r="19" spans="1:6" ht="102" x14ac:dyDescent="0.2">
      <c r="A19" s="148" t="s">
        <v>1019</v>
      </c>
      <c r="B19" s="418"/>
      <c r="C19" s="419"/>
      <c r="D19" s="419"/>
      <c r="E19" s="421"/>
      <c r="F19" s="421"/>
    </row>
    <row r="20" spans="1:6" ht="51" x14ac:dyDescent="0.2">
      <c r="A20" s="146" t="s">
        <v>1020</v>
      </c>
      <c r="B20" s="257" t="s">
        <v>1384</v>
      </c>
      <c r="C20" s="349"/>
      <c r="D20" s="255"/>
      <c r="E20" s="151" t="str">
        <f>IF(C20="","",IFERROR(C20/D20,))</f>
        <v/>
      </c>
      <c r="F20" s="151" t="str">
        <f t="shared" si="1"/>
        <v/>
      </c>
    </row>
    <row r="21" spans="1:6" ht="51" x14ac:dyDescent="0.2">
      <c r="A21" s="145" t="s">
        <v>1021</v>
      </c>
      <c r="B21" s="257" t="s">
        <v>1385</v>
      </c>
      <c r="C21" s="349">
        <v>868568.54</v>
      </c>
      <c r="D21" s="149">
        <v>2399454.0699999998</v>
      </c>
      <c r="E21" s="151">
        <f t="shared" ref="E21" si="3">IF(C21="","",IFERROR(C21/D21,))</f>
        <v>0.36198589956756294</v>
      </c>
      <c r="F21" s="151">
        <f t="shared" si="1"/>
        <v>1.9046194086833043E-2</v>
      </c>
    </row>
    <row r="22" spans="1:6" x14ac:dyDescent="0.2">
      <c r="A22" s="145" t="s">
        <v>54</v>
      </c>
      <c r="B22" s="418" t="s">
        <v>1386</v>
      </c>
      <c r="C22" s="419">
        <v>868568.54</v>
      </c>
      <c r="D22" s="419">
        <v>2399454.0699999998</v>
      </c>
      <c r="E22" s="420">
        <f>IF(C22="","",IFERROR(C22/D22,))</f>
        <v>0.36198589956756294</v>
      </c>
      <c r="F22" s="420">
        <f t="shared" si="1"/>
        <v>1.9046194086833043E-2</v>
      </c>
    </row>
    <row r="23" spans="1:6" ht="51" x14ac:dyDescent="0.2">
      <c r="A23" s="148" t="s">
        <v>1022</v>
      </c>
      <c r="B23" s="418"/>
      <c r="C23" s="419"/>
      <c r="D23" s="419"/>
      <c r="E23" s="421"/>
      <c r="F23" s="421"/>
    </row>
    <row r="24" spans="1:6" ht="102" x14ac:dyDescent="0.2">
      <c r="A24" s="148" t="s">
        <v>1023</v>
      </c>
      <c r="B24" s="257" t="s">
        <v>1387</v>
      </c>
      <c r="C24" s="349"/>
      <c r="D24" s="255"/>
      <c r="E24" s="151" t="str">
        <f>IF(C24="","",IFERROR(C24/D24,))</f>
        <v/>
      </c>
      <c r="F24" s="151" t="str">
        <f t="shared" si="1"/>
        <v/>
      </c>
    </row>
    <row r="25" spans="1:6" ht="63.75" x14ac:dyDescent="0.2">
      <c r="A25" s="147" t="s">
        <v>1024</v>
      </c>
      <c r="B25" s="257" t="s">
        <v>1388</v>
      </c>
      <c r="C25" s="349"/>
      <c r="D25" s="347"/>
      <c r="E25" s="151" t="str">
        <f t="shared" ref="E25:E41" si="4">IF(C25="","",IFERROR(C25/D25,))</f>
        <v/>
      </c>
      <c r="F25" s="151" t="str">
        <f t="shared" si="1"/>
        <v/>
      </c>
    </row>
    <row r="26" spans="1:6" ht="38.25" x14ac:dyDescent="0.2">
      <c r="A26" s="147" t="s">
        <v>1025</v>
      </c>
      <c r="B26" s="257" t="s">
        <v>1389</v>
      </c>
      <c r="C26" s="349"/>
      <c r="D26" s="347"/>
      <c r="E26" s="151" t="str">
        <f t="shared" si="4"/>
        <v/>
      </c>
      <c r="F26" s="151" t="str">
        <f t="shared" si="1"/>
        <v/>
      </c>
    </row>
    <row r="27" spans="1:6" ht="63.75" x14ac:dyDescent="0.2">
      <c r="A27" s="147" t="s">
        <v>1026</v>
      </c>
      <c r="B27" s="257" t="s">
        <v>1366</v>
      </c>
      <c r="C27" s="349"/>
      <c r="D27" s="347"/>
      <c r="E27" s="151" t="str">
        <f t="shared" si="4"/>
        <v/>
      </c>
      <c r="F27" s="151" t="str">
        <f t="shared" si="1"/>
        <v/>
      </c>
    </row>
    <row r="28" spans="1:6" ht="51" x14ac:dyDescent="0.2">
      <c r="A28" s="147" t="s">
        <v>1027</v>
      </c>
      <c r="B28" s="257" t="s">
        <v>1367</v>
      </c>
      <c r="C28" s="349"/>
      <c r="D28" s="347"/>
      <c r="E28" s="151" t="str">
        <f t="shared" si="4"/>
        <v/>
      </c>
      <c r="F28" s="151" t="str">
        <f t="shared" si="1"/>
        <v/>
      </c>
    </row>
    <row r="29" spans="1:6" ht="76.5" x14ac:dyDescent="0.2">
      <c r="A29" s="147" t="s">
        <v>1028</v>
      </c>
      <c r="B29" s="257" t="s">
        <v>1368</v>
      </c>
      <c r="C29" s="349"/>
      <c r="D29" s="255"/>
      <c r="E29" s="151" t="str">
        <f t="shared" si="4"/>
        <v/>
      </c>
      <c r="F29" s="151" t="str">
        <f t="shared" si="1"/>
        <v/>
      </c>
    </row>
    <row r="30" spans="1:6" x14ac:dyDescent="0.2">
      <c r="A30" s="142" t="s">
        <v>1029</v>
      </c>
      <c r="B30" s="257" t="s">
        <v>1369</v>
      </c>
      <c r="C30" s="349">
        <v>12779858.01</v>
      </c>
      <c r="D30" s="149">
        <v>12127931.75</v>
      </c>
      <c r="E30" s="151">
        <f t="shared" si="4"/>
        <v>1.0537541168138582</v>
      </c>
      <c r="F30" s="151">
        <f t="shared" si="1"/>
        <v>0.28024000968378143</v>
      </c>
    </row>
    <row r="31" spans="1:6" ht="51" x14ac:dyDescent="0.2">
      <c r="A31" s="147" t="s">
        <v>1030</v>
      </c>
      <c r="B31" s="257" t="s">
        <v>1370</v>
      </c>
      <c r="C31" s="349"/>
      <c r="D31" s="255"/>
      <c r="E31" s="151" t="str">
        <f t="shared" si="4"/>
        <v/>
      </c>
      <c r="F31" s="151" t="str">
        <f t="shared" si="1"/>
        <v/>
      </c>
    </row>
    <row r="32" spans="1:6" ht="51" x14ac:dyDescent="0.2">
      <c r="A32" s="147" t="s">
        <v>1031</v>
      </c>
      <c r="B32" s="257" t="s">
        <v>1371</v>
      </c>
      <c r="C32" s="349"/>
      <c r="D32" s="255"/>
      <c r="E32" s="151" t="str">
        <f t="shared" si="4"/>
        <v/>
      </c>
      <c r="F32" s="151" t="str">
        <f t="shared" si="1"/>
        <v/>
      </c>
    </row>
    <row r="33" spans="1:6" ht="25.5" x14ac:dyDescent="0.2">
      <c r="A33" s="147" t="s">
        <v>1032</v>
      </c>
      <c r="B33" s="257" t="s">
        <v>1372</v>
      </c>
      <c r="C33" s="349">
        <v>12779858.01</v>
      </c>
      <c r="D33" s="255">
        <v>12127931.75</v>
      </c>
      <c r="E33" s="151">
        <f t="shared" si="4"/>
        <v>1.0537541168138582</v>
      </c>
      <c r="F33" s="151">
        <f t="shared" si="1"/>
        <v>0.28024000968378143</v>
      </c>
    </row>
    <row r="34" spans="1:6" ht="38.25" x14ac:dyDescent="0.2">
      <c r="A34" s="147" t="s">
        <v>1033</v>
      </c>
      <c r="B34" s="257" t="s">
        <v>1373</v>
      </c>
      <c r="C34" s="349"/>
      <c r="D34" s="255"/>
      <c r="E34" s="151" t="str">
        <f t="shared" si="4"/>
        <v/>
      </c>
      <c r="F34" s="151" t="str">
        <f t="shared" si="1"/>
        <v/>
      </c>
    </row>
    <row r="35" spans="1:6" ht="25.5" x14ac:dyDescent="0.2">
      <c r="A35" s="147" t="s">
        <v>1034</v>
      </c>
      <c r="B35" s="257" t="s">
        <v>1374</v>
      </c>
      <c r="C35" s="349"/>
      <c r="D35" s="255"/>
      <c r="E35" s="151" t="str">
        <f t="shared" si="4"/>
        <v/>
      </c>
      <c r="F35" s="151" t="str">
        <f t="shared" si="1"/>
        <v/>
      </c>
    </row>
    <row r="36" spans="1:6" ht="25.5" x14ac:dyDescent="0.2">
      <c r="A36" s="147" t="s">
        <v>1035</v>
      </c>
      <c r="B36" s="257" t="s">
        <v>1375</v>
      </c>
      <c r="C36" s="349"/>
      <c r="D36" s="255"/>
      <c r="E36" s="151" t="str">
        <f t="shared" si="4"/>
        <v/>
      </c>
      <c r="F36" s="151" t="str">
        <f t="shared" si="1"/>
        <v/>
      </c>
    </row>
    <row r="37" spans="1:6" ht="76.5" x14ac:dyDescent="0.2">
      <c r="A37" s="147" t="s">
        <v>1036</v>
      </c>
      <c r="B37" s="257" t="s">
        <v>1376</v>
      </c>
      <c r="C37" s="349"/>
      <c r="D37" s="255"/>
      <c r="E37" s="151" t="str">
        <f t="shared" si="4"/>
        <v/>
      </c>
      <c r="F37" s="151" t="str">
        <f t="shared" si="1"/>
        <v/>
      </c>
    </row>
    <row r="38" spans="1:6" ht="38.25" x14ac:dyDescent="0.2">
      <c r="A38" s="147" t="s">
        <v>1037</v>
      </c>
      <c r="B38" s="257" t="s">
        <v>1377</v>
      </c>
      <c r="C38" s="349"/>
      <c r="D38" s="255"/>
      <c r="E38" s="151" t="str">
        <f t="shared" si="4"/>
        <v/>
      </c>
      <c r="F38" s="151" t="str">
        <f t="shared" si="1"/>
        <v/>
      </c>
    </row>
    <row r="39" spans="1:6" ht="25.5" x14ac:dyDescent="0.2">
      <c r="A39" s="142" t="s">
        <v>1038</v>
      </c>
      <c r="B39" s="257">
        <v>1000</v>
      </c>
      <c r="C39" s="349">
        <v>345720.77</v>
      </c>
      <c r="D39" s="255">
        <v>16268.32</v>
      </c>
      <c r="E39" s="151">
        <f t="shared" si="4"/>
        <v>21.251166070006001</v>
      </c>
      <c r="F39" s="151">
        <f t="shared" si="1"/>
        <v>7.5810538627951764E-3</v>
      </c>
    </row>
    <row r="40" spans="1:6" ht="25.5" x14ac:dyDescent="0.2">
      <c r="A40" s="142" t="s">
        <v>1039</v>
      </c>
      <c r="B40" s="257">
        <v>1100</v>
      </c>
      <c r="C40" s="349"/>
      <c r="D40" s="255"/>
      <c r="E40" s="151" t="str">
        <f t="shared" si="4"/>
        <v/>
      </c>
      <c r="F40" s="151" t="str">
        <f t="shared" si="1"/>
        <v/>
      </c>
    </row>
    <row r="41" spans="1:6" ht="25.5" x14ac:dyDescent="0.2">
      <c r="A41" s="142" t="s">
        <v>1040</v>
      </c>
      <c r="B41" s="257">
        <v>1200</v>
      </c>
      <c r="C41" s="349"/>
      <c r="D41" s="255"/>
      <c r="E41" s="151" t="str">
        <f t="shared" si="4"/>
        <v/>
      </c>
      <c r="F41" s="151" t="str">
        <f t="shared" si="1"/>
        <v/>
      </c>
    </row>
    <row r="42" spans="1:6" x14ac:dyDescent="0.2">
      <c r="A42" s="142" t="s">
        <v>1391</v>
      </c>
      <c r="B42" s="257" t="s">
        <v>1392</v>
      </c>
      <c r="C42" s="356"/>
      <c r="D42" s="356"/>
      <c r="E42" s="151"/>
      <c r="F42" s="151"/>
    </row>
    <row r="43" spans="1:6" x14ac:dyDescent="0.2">
      <c r="A43" s="142" t="s">
        <v>1393</v>
      </c>
      <c r="B43" s="257" t="s">
        <v>1394</v>
      </c>
      <c r="C43" s="356"/>
      <c r="D43" s="356"/>
      <c r="E43" s="151"/>
      <c r="F43" s="151"/>
    </row>
    <row r="44" spans="1:6" ht="25.5" x14ac:dyDescent="0.2">
      <c r="A44" s="142" t="s">
        <v>1395</v>
      </c>
      <c r="B44" s="257" t="s">
        <v>1396</v>
      </c>
      <c r="C44" s="356"/>
      <c r="D44" s="356"/>
      <c r="E44" s="151"/>
      <c r="F44" s="151"/>
    </row>
    <row r="45" spans="1:6" x14ac:dyDescent="0.2">
      <c r="A45" s="142" t="s">
        <v>20</v>
      </c>
      <c r="B45" s="257">
        <v>9000</v>
      </c>
      <c r="C45" s="349">
        <f>C39+C33+C21+C11+C9</f>
        <v>45603259.949999996</v>
      </c>
      <c r="D45" s="349">
        <f>D39+D33+D21+D11+D9</f>
        <v>58088074.140000001</v>
      </c>
      <c r="E45" s="141" t="s">
        <v>299</v>
      </c>
      <c r="F45" s="150">
        <f>SUM(F9,F10,F11,F12,F13,F17,F20,F21,F30,F39,F40,F41)</f>
        <v>1</v>
      </c>
    </row>
  </sheetData>
  <mergeCells count="23">
    <mergeCell ref="E14:E15"/>
    <mergeCell ref="F14:F15"/>
    <mergeCell ref="B22:B23"/>
    <mergeCell ref="C22:C23"/>
    <mergeCell ref="D22:D23"/>
    <mergeCell ref="E22:E23"/>
    <mergeCell ref="F22:F23"/>
    <mergeCell ref="A1:F1"/>
    <mergeCell ref="A2:F2"/>
    <mergeCell ref="A4:F4"/>
    <mergeCell ref="B18:B19"/>
    <mergeCell ref="C18:C19"/>
    <mergeCell ref="D18:D19"/>
    <mergeCell ref="E18:E19"/>
    <mergeCell ref="F18:F19"/>
    <mergeCell ref="A6:A7"/>
    <mergeCell ref="B6:B7"/>
    <mergeCell ref="C6:D6"/>
    <mergeCell ref="E6:E7"/>
    <mergeCell ref="F6:F7"/>
    <mergeCell ref="B14:B15"/>
    <mergeCell ref="C14:C15"/>
    <mergeCell ref="D14:D15"/>
  </mergeCells>
  <printOptions horizontalCentered="1"/>
  <pageMargins left="0.59055118110236227" right="0.39370078740157483" top="0.59055118110236227" bottom="0.39370078740157483" header="0.31496062992125984" footer="0.31496062992125984"/>
  <pageSetup paperSize="9" scale="81" fitToHeight="1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T42"/>
  <sheetViews>
    <sheetView view="pageBreakPreview" zoomScale="80" zoomScaleNormal="100" zoomScaleSheetLayoutView="80" workbookViewId="0">
      <selection sqref="A1:XFD1048576"/>
    </sheetView>
  </sheetViews>
  <sheetFormatPr defaultRowHeight="12.75" x14ac:dyDescent="0.2"/>
  <cols>
    <col min="1" max="1" width="27.42578125" style="392" customWidth="1"/>
    <col min="2" max="2" width="9.140625" style="392"/>
    <col min="3" max="3" width="13.5703125" style="392" bestFit="1" customWidth="1"/>
    <col min="4" max="4" width="11.28515625" style="392" customWidth="1"/>
    <col min="5" max="5" width="13.5703125" style="392" bestFit="1" customWidth="1"/>
    <col min="6" max="6" width="12.42578125" style="392" bestFit="1" customWidth="1"/>
    <col min="7" max="7" width="17.42578125" style="392" customWidth="1"/>
    <col min="8" max="10" width="9.140625" style="392"/>
    <col min="11" max="11" width="10.7109375" style="392" customWidth="1"/>
    <col min="12" max="14" width="9.140625" style="392"/>
    <col min="15" max="15" width="16.85546875" style="392" customWidth="1"/>
    <col min="16" max="16" width="11.85546875" style="392" customWidth="1"/>
    <col min="17" max="17" width="10.5703125" style="392" customWidth="1"/>
    <col min="18" max="16384" width="9.140625" style="392"/>
  </cols>
  <sheetData>
    <row r="1" spans="1:20" s="391" customFormat="1" ht="18.75" x14ac:dyDescent="0.3">
      <c r="A1" s="423" t="s">
        <v>1043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3"/>
      <c r="Q1" s="423"/>
      <c r="R1" s="423"/>
      <c r="S1" s="423"/>
      <c r="T1" s="423"/>
    </row>
    <row r="4" spans="1:20" x14ac:dyDescent="0.2">
      <c r="A4" s="400" t="s">
        <v>40</v>
      </c>
      <c r="B4" s="400" t="s">
        <v>9</v>
      </c>
      <c r="C4" s="400" t="s">
        <v>1044</v>
      </c>
      <c r="D4" s="400" t="s">
        <v>1045</v>
      </c>
      <c r="E4" s="400" t="s">
        <v>1046</v>
      </c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</row>
    <row r="5" spans="1:20" ht="30" customHeight="1" x14ac:dyDescent="0.2">
      <c r="A5" s="400"/>
      <c r="B5" s="400"/>
      <c r="C5" s="400"/>
      <c r="D5" s="400"/>
      <c r="E5" s="400" t="s">
        <v>1047</v>
      </c>
      <c r="F5" s="400" t="s">
        <v>1048</v>
      </c>
      <c r="G5" s="400" t="s">
        <v>106</v>
      </c>
      <c r="H5" s="400" t="s">
        <v>1048</v>
      </c>
      <c r="I5" s="400" t="s">
        <v>107</v>
      </c>
      <c r="J5" s="400"/>
      <c r="K5" s="400"/>
      <c r="L5" s="400"/>
      <c r="M5" s="400" t="s">
        <v>112</v>
      </c>
      <c r="N5" s="400" t="s">
        <v>1048</v>
      </c>
      <c r="O5" s="400" t="s">
        <v>1049</v>
      </c>
      <c r="P5" s="400" t="s">
        <v>1048</v>
      </c>
      <c r="Q5" s="400" t="s">
        <v>59</v>
      </c>
      <c r="R5" s="400"/>
      <c r="S5" s="400"/>
      <c r="T5" s="400"/>
    </row>
    <row r="6" spans="1:20" x14ac:dyDescent="0.2">
      <c r="A6" s="400"/>
      <c r="B6" s="400"/>
      <c r="C6" s="400"/>
      <c r="D6" s="400"/>
      <c r="E6" s="400"/>
      <c r="F6" s="400"/>
      <c r="G6" s="400"/>
      <c r="H6" s="400"/>
      <c r="I6" s="400" t="s">
        <v>54</v>
      </c>
      <c r="J6" s="400"/>
      <c r="K6" s="400"/>
      <c r="L6" s="400"/>
      <c r="M6" s="400"/>
      <c r="N6" s="400"/>
      <c r="O6" s="400"/>
      <c r="P6" s="400"/>
      <c r="Q6" s="400" t="s">
        <v>1050</v>
      </c>
      <c r="R6" s="400" t="s">
        <v>1048</v>
      </c>
      <c r="S6" s="400" t="s">
        <v>1051</v>
      </c>
      <c r="T6" s="400" t="s">
        <v>1048</v>
      </c>
    </row>
    <row r="7" spans="1:20" ht="148.5" customHeight="1" x14ac:dyDescent="0.2">
      <c r="A7" s="400"/>
      <c r="B7" s="400"/>
      <c r="C7" s="400"/>
      <c r="D7" s="400"/>
      <c r="E7" s="400"/>
      <c r="F7" s="400"/>
      <c r="G7" s="400"/>
      <c r="H7" s="400"/>
      <c r="I7" s="382" t="s">
        <v>110</v>
      </c>
      <c r="J7" s="382" t="s">
        <v>1048</v>
      </c>
      <c r="K7" s="382" t="s">
        <v>1052</v>
      </c>
      <c r="L7" s="382" t="s">
        <v>1048</v>
      </c>
      <c r="M7" s="400"/>
      <c r="N7" s="400"/>
      <c r="O7" s="400"/>
      <c r="P7" s="400"/>
      <c r="Q7" s="400"/>
      <c r="R7" s="400"/>
      <c r="S7" s="400"/>
      <c r="T7" s="400"/>
    </row>
    <row r="8" spans="1:20" x14ac:dyDescent="0.2">
      <c r="A8" s="382">
        <v>1</v>
      </c>
      <c r="B8" s="382">
        <v>2</v>
      </c>
      <c r="C8" s="382">
        <v>3</v>
      </c>
      <c r="D8" s="382">
        <v>4</v>
      </c>
      <c r="E8" s="382">
        <v>5</v>
      </c>
      <c r="F8" s="382">
        <v>6</v>
      </c>
      <c r="G8" s="382">
        <v>7</v>
      </c>
      <c r="H8" s="382">
        <v>8</v>
      </c>
      <c r="I8" s="382">
        <v>9</v>
      </c>
      <c r="J8" s="382">
        <v>10</v>
      </c>
      <c r="K8" s="382">
        <v>11</v>
      </c>
      <c r="L8" s="382">
        <v>12</v>
      </c>
      <c r="M8" s="382">
        <v>13</v>
      </c>
      <c r="N8" s="382">
        <v>14</v>
      </c>
      <c r="O8" s="382">
        <v>15</v>
      </c>
      <c r="P8" s="382">
        <v>16</v>
      </c>
      <c r="Q8" s="382">
        <v>17</v>
      </c>
      <c r="R8" s="382">
        <v>18</v>
      </c>
      <c r="S8" s="382">
        <v>19</v>
      </c>
      <c r="T8" s="382">
        <v>20</v>
      </c>
    </row>
    <row r="9" spans="1:20" ht="38.25" x14ac:dyDescent="0.2">
      <c r="A9" s="385" t="s">
        <v>1053</v>
      </c>
      <c r="B9" s="382">
        <v>100</v>
      </c>
      <c r="C9" s="384">
        <f>E9+G9+O9</f>
        <v>13893852.949999999</v>
      </c>
      <c r="D9" s="345">
        <f>C9/$C$40</f>
        <v>0.10385615525916289</v>
      </c>
      <c r="E9" s="384">
        <v>8040321.8499999996</v>
      </c>
      <c r="F9" s="345">
        <f>E9/$C$40</f>
        <v>6.0101176929991895E-2</v>
      </c>
      <c r="G9" s="385"/>
      <c r="H9" s="341"/>
      <c r="I9" s="385"/>
      <c r="J9" s="385"/>
      <c r="K9" s="385"/>
      <c r="L9" s="385"/>
      <c r="M9" s="385"/>
      <c r="N9" s="385"/>
      <c r="O9" s="384">
        <v>5853531.0999999996</v>
      </c>
      <c r="P9" s="345">
        <f>O9/$C$40</f>
        <v>4.3754978329170996E-2</v>
      </c>
      <c r="Q9" s="385"/>
      <c r="R9" s="385"/>
      <c r="S9" s="385"/>
      <c r="T9" s="385"/>
    </row>
    <row r="10" spans="1:20" ht="25.5" x14ac:dyDescent="0.2">
      <c r="A10" s="385" t="s">
        <v>1054</v>
      </c>
      <c r="B10" s="382">
        <v>200</v>
      </c>
      <c r="C10" s="384">
        <f>E10+G10+O10</f>
        <v>4169639.5600000005</v>
      </c>
      <c r="D10" s="345">
        <f>C10/$C$40</f>
        <v>3.1167937006135345E-2</v>
      </c>
      <c r="E10" s="384">
        <v>2421116.4500000002</v>
      </c>
      <c r="F10" s="345">
        <f>E10/$C$40</f>
        <v>1.8097776537336487E-2</v>
      </c>
      <c r="G10" s="385"/>
      <c r="H10" s="341"/>
      <c r="I10" s="385"/>
      <c r="J10" s="385"/>
      <c r="K10" s="385"/>
      <c r="L10" s="385"/>
      <c r="M10" s="385"/>
      <c r="N10" s="385"/>
      <c r="O10" s="384">
        <v>1748523.11</v>
      </c>
      <c r="P10" s="345">
        <f>O10/$C$40</f>
        <v>1.3070160468798856E-2</v>
      </c>
      <c r="Q10" s="385"/>
      <c r="R10" s="385"/>
      <c r="S10" s="385"/>
      <c r="T10" s="385"/>
    </row>
    <row r="11" spans="1:20" ht="25.5" x14ac:dyDescent="0.2">
      <c r="A11" s="393" t="s">
        <v>1055</v>
      </c>
      <c r="B11" s="382">
        <v>300</v>
      </c>
      <c r="C11" s="384">
        <f>SUM(C12:C19)</f>
        <v>21770471.210000001</v>
      </c>
      <c r="D11" s="345">
        <f>C11/$C$40</f>
        <v>0.16273365251435859</v>
      </c>
      <c r="E11" s="384">
        <f>SUM(E12:E19)</f>
        <v>586504.51</v>
      </c>
      <c r="F11" s="345">
        <f>E11/$C$40</f>
        <v>4.3841045151380605E-3</v>
      </c>
      <c r="G11" s="384">
        <f>SUM(G12:G19)</f>
        <v>19999884.329999998</v>
      </c>
      <c r="H11" s="345">
        <f>G11/$C$40</f>
        <v>0.14949856599293998</v>
      </c>
      <c r="I11" s="385"/>
      <c r="J11" s="385"/>
      <c r="K11" s="385"/>
      <c r="L11" s="385"/>
      <c r="M11" s="385"/>
      <c r="N11" s="385"/>
      <c r="O11" s="384">
        <f>SUM(O12:O19)</f>
        <v>1184082.3700000001</v>
      </c>
      <c r="P11" s="345">
        <f>O11/$C$40</f>
        <v>8.8509820062805233E-3</v>
      </c>
      <c r="Q11" s="385"/>
      <c r="R11" s="385"/>
      <c r="S11" s="385"/>
      <c r="T11" s="385"/>
    </row>
    <row r="12" spans="1:20" x14ac:dyDescent="0.2">
      <c r="A12" s="393" t="s">
        <v>59</v>
      </c>
      <c r="B12" s="425">
        <v>301</v>
      </c>
      <c r="C12" s="429">
        <f>E12+G12+O12</f>
        <v>56247.929999999993</v>
      </c>
      <c r="D12" s="427">
        <f>C12/$C$40</f>
        <v>4.2045167543582832E-4</v>
      </c>
      <c r="E12" s="419">
        <v>20870.439999999999</v>
      </c>
      <c r="F12" s="427">
        <f>E12/$C$40</f>
        <v>1.5600594484246671E-4</v>
      </c>
      <c r="G12" s="424"/>
      <c r="H12" s="424"/>
      <c r="I12" s="424"/>
      <c r="J12" s="424"/>
      <c r="K12" s="424"/>
      <c r="L12" s="424"/>
      <c r="M12" s="424"/>
      <c r="N12" s="424"/>
      <c r="O12" s="419">
        <v>35377.49</v>
      </c>
      <c r="P12" s="427">
        <f>O12/$C$40</f>
        <v>2.6444573059336161E-4</v>
      </c>
      <c r="Q12" s="424"/>
      <c r="R12" s="424"/>
      <c r="S12" s="424"/>
      <c r="T12" s="424"/>
    </row>
    <row r="13" spans="1:20" x14ac:dyDescent="0.2">
      <c r="A13" s="394" t="s">
        <v>1056</v>
      </c>
      <c r="B13" s="425"/>
      <c r="C13" s="430"/>
      <c r="D13" s="428"/>
      <c r="E13" s="419"/>
      <c r="F13" s="428"/>
      <c r="G13" s="424"/>
      <c r="H13" s="424"/>
      <c r="I13" s="424"/>
      <c r="J13" s="424"/>
      <c r="K13" s="424"/>
      <c r="L13" s="424"/>
      <c r="M13" s="424"/>
      <c r="N13" s="424"/>
      <c r="O13" s="419"/>
      <c r="P13" s="428"/>
      <c r="Q13" s="424"/>
      <c r="R13" s="424"/>
      <c r="S13" s="424"/>
      <c r="T13" s="424"/>
    </row>
    <row r="14" spans="1:20" x14ac:dyDescent="0.2">
      <c r="A14" s="394" t="s">
        <v>1057</v>
      </c>
      <c r="B14" s="382">
        <v>302</v>
      </c>
      <c r="C14" s="384">
        <f t="shared" ref="C14:C19" si="0">E14+G14+O14</f>
        <v>211599</v>
      </c>
      <c r="D14" s="345">
        <f t="shared" ref="D14:D19" si="1">C14/$C$40</f>
        <v>1.5816965010187192E-3</v>
      </c>
      <c r="E14" s="384">
        <v>723.13</v>
      </c>
      <c r="F14" s="345">
        <f t="shared" ref="F14:F19" si="2">E14/$C$40</f>
        <v>5.4053761633167759E-6</v>
      </c>
      <c r="G14" s="384">
        <v>196000</v>
      </c>
      <c r="H14" s="345">
        <f>G14/$C$40</f>
        <v>1.4650944201043906E-3</v>
      </c>
      <c r="I14" s="385"/>
      <c r="J14" s="385"/>
      <c r="K14" s="385"/>
      <c r="L14" s="385"/>
      <c r="M14" s="385"/>
      <c r="N14" s="385"/>
      <c r="O14" s="384">
        <v>14875.87</v>
      </c>
      <c r="P14" s="345">
        <f>O14/$C$40</f>
        <v>1.1119670475101175E-4</v>
      </c>
      <c r="Q14" s="385"/>
      <c r="R14" s="385"/>
      <c r="S14" s="385"/>
      <c r="T14" s="385"/>
    </row>
    <row r="15" spans="1:20" x14ac:dyDescent="0.2">
      <c r="A15" s="388" t="s">
        <v>153</v>
      </c>
      <c r="B15" s="382">
        <v>303</v>
      </c>
      <c r="C15" s="384">
        <f t="shared" si="0"/>
        <v>455391.43</v>
      </c>
      <c r="D15" s="345">
        <f t="shared" si="1"/>
        <v>3.404037974777343E-3</v>
      </c>
      <c r="E15" s="384">
        <v>231793.88</v>
      </c>
      <c r="F15" s="345">
        <f t="shared" si="2"/>
        <v>1.7326526540936058E-3</v>
      </c>
      <c r="G15" s="385"/>
      <c r="H15" s="341"/>
      <c r="I15" s="385"/>
      <c r="J15" s="385"/>
      <c r="K15" s="385"/>
      <c r="L15" s="385"/>
      <c r="M15" s="385"/>
      <c r="N15" s="385"/>
      <c r="O15" s="384">
        <v>223597.55</v>
      </c>
      <c r="P15" s="345">
        <f>O15/$C$40</f>
        <v>1.6713853206837372E-3</v>
      </c>
      <c r="Q15" s="385"/>
      <c r="R15" s="385"/>
      <c r="S15" s="385"/>
      <c r="T15" s="385"/>
    </row>
    <row r="16" spans="1:20" ht="25.5" x14ac:dyDescent="0.2">
      <c r="A16" s="388" t="s">
        <v>1100</v>
      </c>
      <c r="B16" s="382">
        <v>304</v>
      </c>
      <c r="C16" s="384">
        <f t="shared" si="0"/>
        <v>247800</v>
      </c>
      <c r="D16" s="345">
        <f t="shared" si="1"/>
        <v>1.8522979454176939E-3</v>
      </c>
      <c r="E16" s="384"/>
      <c r="F16" s="345">
        <f t="shared" si="2"/>
        <v>0</v>
      </c>
      <c r="G16" s="384">
        <v>247800</v>
      </c>
      <c r="H16" s="345">
        <f>G16/$C$40</f>
        <v>1.8522979454176939E-3</v>
      </c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</row>
    <row r="17" spans="1:20" ht="25.5" x14ac:dyDescent="0.2">
      <c r="A17" s="388" t="s">
        <v>1058</v>
      </c>
      <c r="B17" s="382">
        <v>305</v>
      </c>
      <c r="C17" s="384">
        <f t="shared" si="0"/>
        <v>7255851.46</v>
      </c>
      <c r="D17" s="345">
        <f t="shared" si="1"/>
        <v>5.4237283097715798E-2</v>
      </c>
      <c r="E17" s="384">
        <v>137500.91</v>
      </c>
      <c r="F17" s="345">
        <f t="shared" si="2"/>
        <v>1.0278153877565103E-3</v>
      </c>
      <c r="G17" s="344">
        <f>6697602.78-202283.42+236471.05</f>
        <v>6731790.4100000001</v>
      </c>
      <c r="H17" s="345">
        <f>G17/$C$40</f>
        <v>5.0319941668383918E-2</v>
      </c>
      <c r="I17" s="385"/>
      <c r="J17" s="385"/>
      <c r="K17" s="385"/>
      <c r="L17" s="385"/>
      <c r="M17" s="385"/>
      <c r="N17" s="385"/>
      <c r="O17" s="384">
        <v>386560.14</v>
      </c>
      <c r="P17" s="345">
        <f>O17/$C$40</f>
        <v>2.8895260415753676E-3</v>
      </c>
      <c r="Q17" s="385"/>
      <c r="R17" s="385"/>
      <c r="S17" s="385"/>
      <c r="T17" s="385"/>
    </row>
    <row r="18" spans="1:20" x14ac:dyDescent="0.2">
      <c r="A18" s="388" t="s">
        <v>1059</v>
      </c>
      <c r="B18" s="382">
        <v>306</v>
      </c>
      <c r="C18" s="384">
        <f t="shared" si="0"/>
        <v>5925871.1500000004</v>
      </c>
      <c r="D18" s="345">
        <f t="shared" si="1"/>
        <v>4.4295718143482599E-2</v>
      </c>
      <c r="E18" s="384">
        <v>114437.86</v>
      </c>
      <c r="F18" s="345">
        <f t="shared" si="2"/>
        <v>8.5541974558514002E-4</v>
      </c>
      <c r="G18" s="384">
        <f>3421036+1993630+16562.2</f>
        <v>5431228.2000000002</v>
      </c>
      <c r="H18" s="345">
        <f>G18/$C$40</f>
        <v>4.0598276174151092E-2</v>
      </c>
      <c r="I18" s="385"/>
      <c r="J18" s="385"/>
      <c r="K18" s="385"/>
      <c r="L18" s="385"/>
      <c r="M18" s="385"/>
      <c r="N18" s="385"/>
      <c r="O18" s="384">
        <v>380205.09</v>
      </c>
      <c r="P18" s="345">
        <f>O18/$C$40</f>
        <v>2.8420222237463657E-3</v>
      </c>
      <c r="Q18" s="385"/>
      <c r="R18" s="385"/>
      <c r="S18" s="385"/>
      <c r="T18" s="385"/>
    </row>
    <row r="19" spans="1:20" x14ac:dyDescent="0.2">
      <c r="A19" s="388" t="s">
        <v>1397</v>
      </c>
      <c r="B19" s="382">
        <v>307</v>
      </c>
      <c r="C19" s="384">
        <f t="shared" si="0"/>
        <v>7617710.2400000002</v>
      </c>
      <c r="D19" s="345">
        <f t="shared" si="1"/>
        <v>5.6942167176510607E-2</v>
      </c>
      <c r="E19" s="385">
        <f>57510.45+23667.84</f>
        <v>81178.289999999994</v>
      </c>
      <c r="F19" s="385">
        <f t="shared" si="2"/>
        <v>6.0680540669702065E-4</v>
      </c>
      <c r="G19" s="384">
        <f>8022392.42+206000-835326.7</f>
        <v>7393065.7199999997</v>
      </c>
      <c r="H19" s="345">
        <f>G19/$C$40</f>
        <v>5.5262955784882904E-2</v>
      </c>
      <c r="I19" s="385"/>
      <c r="J19" s="385"/>
      <c r="K19" s="385"/>
      <c r="L19" s="385"/>
      <c r="M19" s="385"/>
      <c r="N19" s="385"/>
      <c r="O19" s="384">
        <v>143466.23000000001</v>
      </c>
      <c r="P19" s="345">
        <f>O19/$C$40</f>
        <v>1.0724059849306793E-3</v>
      </c>
      <c r="Q19" s="385"/>
      <c r="R19" s="385"/>
      <c r="S19" s="385"/>
      <c r="T19" s="385"/>
    </row>
    <row r="20" spans="1:20" ht="25.5" x14ac:dyDescent="0.2">
      <c r="A20" s="385" t="s">
        <v>1060</v>
      </c>
      <c r="B20" s="382">
        <v>400</v>
      </c>
      <c r="C20" s="385"/>
      <c r="D20" s="386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</row>
    <row r="21" spans="1:20" ht="25.5" x14ac:dyDescent="0.2">
      <c r="A21" s="385" t="s">
        <v>1061</v>
      </c>
      <c r="B21" s="382">
        <v>500</v>
      </c>
      <c r="C21" s="385"/>
      <c r="D21" s="386"/>
      <c r="E21" s="384"/>
      <c r="F21" s="385"/>
      <c r="G21" s="384"/>
      <c r="H21" s="385"/>
      <c r="I21" s="385"/>
      <c r="J21" s="385"/>
      <c r="K21" s="385"/>
      <c r="L21" s="385"/>
      <c r="M21" s="385"/>
      <c r="N21" s="385"/>
      <c r="O21" s="384"/>
      <c r="P21" s="385"/>
      <c r="Q21" s="385"/>
      <c r="R21" s="385"/>
      <c r="S21" s="385"/>
      <c r="T21" s="385"/>
    </row>
    <row r="22" spans="1:20" x14ac:dyDescent="0.2">
      <c r="A22" s="385" t="s">
        <v>1062</v>
      </c>
      <c r="B22" s="382">
        <v>600</v>
      </c>
      <c r="C22" s="385"/>
      <c r="D22" s="386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</row>
    <row r="23" spans="1:20" ht="63.75" x14ac:dyDescent="0.2">
      <c r="A23" s="393" t="s">
        <v>1063</v>
      </c>
      <c r="B23" s="382">
        <v>700</v>
      </c>
      <c r="C23" s="384">
        <f>O23</f>
        <v>815810</v>
      </c>
      <c r="D23" s="345">
        <f t="shared" ref="D23" si="3">C23/$C$40</f>
        <v>6.0981565248232807E-3</v>
      </c>
      <c r="E23" s="385"/>
      <c r="F23" s="341"/>
      <c r="G23" s="385"/>
      <c r="H23" s="341"/>
      <c r="I23" s="385"/>
      <c r="J23" s="385"/>
      <c r="K23" s="385"/>
      <c r="L23" s="385"/>
      <c r="M23" s="385"/>
      <c r="N23" s="385"/>
      <c r="O23" s="384">
        <v>815810</v>
      </c>
      <c r="P23" s="345">
        <f t="shared" ref="P23" si="4">O23/$C$40</f>
        <v>6.0981565248232807E-3</v>
      </c>
      <c r="Q23" s="385"/>
      <c r="R23" s="385"/>
      <c r="S23" s="385"/>
      <c r="T23" s="385"/>
    </row>
    <row r="24" spans="1:20" x14ac:dyDescent="0.2">
      <c r="A24" s="393" t="s">
        <v>59</v>
      </c>
      <c r="B24" s="425">
        <v>701</v>
      </c>
      <c r="C24" s="424"/>
      <c r="D24" s="426"/>
      <c r="E24" s="424"/>
      <c r="F24" s="424"/>
      <c r="G24" s="424"/>
      <c r="H24" s="424"/>
      <c r="I24" s="424"/>
      <c r="J24" s="424"/>
      <c r="K24" s="424"/>
      <c r="L24" s="424"/>
      <c r="M24" s="424"/>
      <c r="N24" s="424"/>
      <c r="O24" s="424"/>
      <c r="P24" s="424"/>
      <c r="Q24" s="424"/>
      <c r="R24" s="424"/>
      <c r="S24" s="424"/>
      <c r="T24" s="424"/>
    </row>
    <row r="25" spans="1:20" x14ac:dyDescent="0.2">
      <c r="A25" s="394" t="s">
        <v>1064</v>
      </c>
      <c r="B25" s="425"/>
      <c r="C25" s="424"/>
      <c r="D25" s="426"/>
      <c r="E25" s="424"/>
      <c r="F25" s="424"/>
      <c r="G25" s="424"/>
      <c r="H25" s="424"/>
      <c r="I25" s="424"/>
      <c r="J25" s="424"/>
      <c r="K25" s="424"/>
      <c r="L25" s="424"/>
      <c r="M25" s="424"/>
      <c r="N25" s="424"/>
      <c r="O25" s="424"/>
      <c r="P25" s="424"/>
      <c r="Q25" s="424"/>
      <c r="R25" s="424"/>
      <c r="S25" s="424"/>
      <c r="T25" s="424"/>
    </row>
    <row r="26" spans="1:20" ht="25.5" x14ac:dyDescent="0.2">
      <c r="A26" s="394" t="s">
        <v>1065</v>
      </c>
      <c r="B26" s="382">
        <v>702</v>
      </c>
      <c r="C26" s="385"/>
      <c r="D26" s="386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</row>
    <row r="27" spans="1:20" ht="25.5" x14ac:dyDescent="0.2">
      <c r="A27" s="388" t="s">
        <v>1066</v>
      </c>
      <c r="B27" s="382">
        <v>703</v>
      </c>
      <c r="C27" s="385"/>
      <c r="D27" s="386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</row>
    <row r="28" spans="1:20" x14ac:dyDescent="0.2">
      <c r="A28" s="388" t="s">
        <v>1067</v>
      </c>
      <c r="B28" s="382">
        <v>704</v>
      </c>
      <c r="C28" s="385"/>
      <c r="D28" s="386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</row>
    <row r="29" spans="1:20" x14ac:dyDescent="0.2">
      <c r="A29" s="388" t="s">
        <v>1068</v>
      </c>
      <c r="B29" s="382">
        <v>705</v>
      </c>
      <c r="C29" s="385"/>
      <c r="D29" s="386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</row>
    <row r="30" spans="1:20" x14ac:dyDescent="0.2">
      <c r="A30" s="388" t="s">
        <v>1069</v>
      </c>
      <c r="B30" s="382">
        <v>706</v>
      </c>
      <c r="C30" s="385"/>
      <c r="D30" s="386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</row>
    <row r="31" spans="1:20" x14ac:dyDescent="0.2">
      <c r="A31" s="388" t="s">
        <v>1070</v>
      </c>
      <c r="B31" s="382">
        <v>707</v>
      </c>
      <c r="C31" s="385"/>
      <c r="D31" s="386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</row>
    <row r="32" spans="1:20" ht="25.5" x14ac:dyDescent="0.2">
      <c r="A32" s="393" t="s">
        <v>1071</v>
      </c>
      <c r="B32" s="382">
        <v>800</v>
      </c>
      <c r="C32" s="342">
        <f>SUM(C33:C35)</f>
        <v>93130000</v>
      </c>
      <c r="D32" s="345">
        <f t="shared" ref="D32" si="5">C32/$C$40</f>
        <v>0.69614409869551996</v>
      </c>
      <c r="E32" s="342">
        <f>SUM(E33:E35)</f>
        <v>0</v>
      </c>
      <c r="F32" s="341"/>
      <c r="G32" s="342">
        <f>SUM(G33:G35)</f>
        <v>0</v>
      </c>
      <c r="H32" s="341"/>
      <c r="I32" s="385"/>
      <c r="J32" s="385"/>
      <c r="K32" s="385"/>
      <c r="L32" s="385"/>
      <c r="M32" s="385"/>
      <c r="N32" s="385"/>
      <c r="O32" s="342">
        <f>SUM(O33:O35)</f>
        <v>93130000</v>
      </c>
      <c r="P32" s="345">
        <f t="shared" ref="P32" si="6">O32/$C$40</f>
        <v>0.69614409869551996</v>
      </c>
      <c r="Q32" s="385"/>
      <c r="R32" s="385"/>
      <c r="S32" s="385"/>
      <c r="T32" s="385"/>
    </row>
    <row r="33" spans="1:20" x14ac:dyDescent="0.2">
      <c r="A33" s="393" t="s">
        <v>59</v>
      </c>
      <c r="B33" s="425">
        <v>801</v>
      </c>
      <c r="C33" s="424"/>
      <c r="D33" s="426"/>
      <c r="E33" s="424"/>
      <c r="F33" s="424"/>
      <c r="G33" s="424"/>
      <c r="H33" s="424"/>
      <c r="I33" s="424"/>
      <c r="J33" s="424"/>
      <c r="K33" s="424"/>
      <c r="L33" s="424"/>
      <c r="M33" s="424"/>
      <c r="N33" s="424"/>
      <c r="O33" s="424"/>
      <c r="P33" s="424"/>
      <c r="Q33" s="424"/>
      <c r="R33" s="424"/>
      <c r="S33" s="424"/>
      <c r="T33" s="424"/>
    </row>
    <row r="34" spans="1:20" ht="38.25" x14ac:dyDescent="0.2">
      <c r="A34" s="394" t="s">
        <v>1072</v>
      </c>
      <c r="B34" s="425"/>
      <c r="C34" s="424"/>
      <c r="D34" s="426"/>
      <c r="E34" s="424"/>
      <c r="F34" s="424"/>
      <c r="G34" s="424"/>
      <c r="H34" s="424"/>
      <c r="I34" s="424"/>
      <c r="J34" s="424"/>
      <c r="K34" s="424"/>
      <c r="L34" s="424"/>
      <c r="M34" s="424"/>
      <c r="N34" s="424"/>
      <c r="O34" s="424"/>
      <c r="P34" s="424"/>
      <c r="Q34" s="424"/>
      <c r="R34" s="424"/>
      <c r="S34" s="424"/>
      <c r="T34" s="424"/>
    </row>
    <row r="35" spans="1:20" ht="25.5" x14ac:dyDescent="0.2">
      <c r="A35" s="394" t="s">
        <v>1073</v>
      </c>
      <c r="B35" s="382">
        <v>802</v>
      </c>
      <c r="C35" s="384">
        <f>O35</f>
        <v>93130000</v>
      </c>
      <c r="D35" s="345">
        <f t="shared" ref="D35" si="7">C35/$C$40</f>
        <v>0.69614409869551996</v>
      </c>
      <c r="E35" s="385"/>
      <c r="F35" s="341"/>
      <c r="G35" s="385"/>
      <c r="H35" s="341"/>
      <c r="I35" s="385"/>
      <c r="J35" s="385"/>
      <c r="K35" s="385"/>
      <c r="L35" s="385"/>
      <c r="M35" s="385"/>
      <c r="N35" s="385"/>
      <c r="O35" s="384">
        <v>93130000</v>
      </c>
      <c r="P35" s="345">
        <f t="shared" ref="P35" si="8">O35/$C$40</f>
        <v>0.69614409869551996</v>
      </c>
      <c r="Q35" s="385"/>
      <c r="R35" s="385"/>
      <c r="S35" s="385"/>
      <c r="T35" s="385"/>
    </row>
    <row r="36" spans="1:20" x14ac:dyDescent="0.2">
      <c r="A36" s="393" t="s">
        <v>1074</v>
      </c>
      <c r="B36" s="382">
        <v>900</v>
      </c>
      <c r="C36" s="342">
        <f>SUM(C37:C39)</f>
        <v>0</v>
      </c>
      <c r="D36" s="345"/>
      <c r="E36" s="342">
        <f>SUM(E37:E39)</f>
        <v>0</v>
      </c>
      <c r="F36" s="385"/>
      <c r="G36" s="342">
        <f>SUM(G37:G39)</f>
        <v>0</v>
      </c>
      <c r="H36" s="385"/>
      <c r="I36" s="385"/>
      <c r="J36" s="385"/>
      <c r="K36" s="385"/>
      <c r="L36" s="385"/>
      <c r="M36" s="385"/>
      <c r="N36" s="385"/>
      <c r="O36" s="342">
        <f>SUM(O37:O39)</f>
        <v>0</v>
      </c>
      <c r="P36" s="385"/>
      <c r="Q36" s="385"/>
      <c r="R36" s="385"/>
      <c r="S36" s="385"/>
      <c r="T36" s="385"/>
    </row>
    <row r="37" spans="1:20" x14ac:dyDescent="0.2">
      <c r="A37" s="393" t="s">
        <v>59</v>
      </c>
      <c r="B37" s="425">
        <v>901</v>
      </c>
      <c r="C37" s="424"/>
      <c r="D37" s="426"/>
      <c r="E37" s="424"/>
      <c r="F37" s="424"/>
      <c r="G37" s="424"/>
      <c r="H37" s="424"/>
      <c r="I37" s="424"/>
      <c r="J37" s="424"/>
      <c r="K37" s="424"/>
      <c r="L37" s="424"/>
      <c r="M37" s="424"/>
      <c r="N37" s="424"/>
      <c r="O37" s="424"/>
      <c r="P37" s="424"/>
      <c r="Q37" s="424"/>
      <c r="R37" s="424"/>
      <c r="S37" s="424"/>
      <c r="T37" s="424"/>
    </row>
    <row r="38" spans="1:20" ht="25.5" x14ac:dyDescent="0.2">
      <c r="A38" s="394" t="s">
        <v>1075</v>
      </c>
      <c r="B38" s="425"/>
      <c r="C38" s="424"/>
      <c r="D38" s="426"/>
      <c r="E38" s="424"/>
      <c r="F38" s="424"/>
      <c r="G38" s="424"/>
      <c r="H38" s="424"/>
      <c r="I38" s="424"/>
      <c r="J38" s="424"/>
      <c r="K38" s="424"/>
      <c r="L38" s="424"/>
      <c r="M38" s="424"/>
      <c r="N38" s="424"/>
      <c r="O38" s="424"/>
      <c r="P38" s="424"/>
      <c r="Q38" s="424"/>
      <c r="R38" s="424"/>
      <c r="S38" s="424"/>
      <c r="T38" s="424"/>
    </row>
    <row r="39" spans="1:20" ht="25.5" x14ac:dyDescent="0.2">
      <c r="A39" s="394" t="s">
        <v>1076</v>
      </c>
      <c r="B39" s="382">
        <v>902</v>
      </c>
      <c r="C39" s="385"/>
      <c r="D39" s="386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</row>
    <row r="40" spans="1:20" ht="42" customHeight="1" x14ac:dyDescent="0.2">
      <c r="A40" s="385" t="s">
        <v>20</v>
      </c>
      <c r="B40" s="382">
        <v>9000</v>
      </c>
      <c r="C40" s="384">
        <f>C9+C10+C11+C23+C32</f>
        <v>133779773.72</v>
      </c>
      <c r="D40" s="386">
        <v>1</v>
      </c>
      <c r="E40" s="384">
        <f>E9+E10+E11+E23+E32</f>
        <v>11047942.810000001</v>
      </c>
      <c r="F40" s="345"/>
      <c r="G40" s="384">
        <f>G9+G10+G11+G23+G32</f>
        <v>19999884.329999998</v>
      </c>
      <c r="H40" s="345"/>
      <c r="I40" s="385"/>
      <c r="J40" s="343"/>
      <c r="K40" s="385"/>
      <c r="L40" s="343"/>
      <c r="M40" s="385"/>
      <c r="N40" s="343"/>
      <c r="O40" s="384">
        <f>O9+O10+O11+O23+O32</f>
        <v>102731946.58</v>
      </c>
      <c r="P40" s="345"/>
      <c r="Q40" s="385"/>
      <c r="R40" s="343"/>
      <c r="S40" s="385"/>
      <c r="T40" s="343"/>
    </row>
    <row r="41" spans="1:20" x14ac:dyDescent="0.2">
      <c r="D41" s="395"/>
    </row>
    <row r="42" spans="1:20" x14ac:dyDescent="0.2">
      <c r="D42" s="395"/>
      <c r="F42" s="395"/>
      <c r="H42" s="395"/>
      <c r="P42" s="395"/>
    </row>
  </sheetData>
  <mergeCells count="97">
    <mergeCell ref="A4:A7"/>
    <mergeCell ref="B4:B7"/>
    <mergeCell ref="C4:C7"/>
    <mergeCell ref="D4:D7"/>
    <mergeCell ref="E4:T4"/>
    <mergeCell ref="E5:E7"/>
    <mergeCell ref="F5:F7"/>
    <mergeCell ref="G5:G7"/>
    <mergeCell ref="H5:H7"/>
    <mergeCell ref="I5:L5"/>
    <mergeCell ref="I6:L6"/>
    <mergeCell ref="Q6:Q7"/>
    <mergeCell ref="R6:R7"/>
    <mergeCell ref="S6:S7"/>
    <mergeCell ref="T6:T7"/>
    <mergeCell ref="M5:M7"/>
    <mergeCell ref="N5:N7"/>
    <mergeCell ref="O5:O7"/>
    <mergeCell ref="P5:P7"/>
    <mergeCell ref="Q5:T5"/>
    <mergeCell ref="M12:M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T12:T13"/>
    <mergeCell ref="N12:N13"/>
    <mergeCell ref="O12:O13"/>
    <mergeCell ref="P12:P13"/>
    <mergeCell ref="Q12:Q13"/>
    <mergeCell ref="R12:R13"/>
    <mergeCell ref="S12:S13"/>
    <mergeCell ref="M24:M25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T24:T25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N24:N25"/>
    <mergeCell ref="O24:O25"/>
    <mergeCell ref="P24:P25"/>
    <mergeCell ref="Q24:Q25"/>
    <mergeCell ref="R24:R25"/>
    <mergeCell ref="S24:S25"/>
    <mergeCell ref="T33:T34"/>
    <mergeCell ref="B37:B38"/>
    <mergeCell ref="C37:C38"/>
    <mergeCell ref="D37:D38"/>
    <mergeCell ref="E37:E38"/>
    <mergeCell ref="F37:F38"/>
    <mergeCell ref="G37:G38"/>
    <mergeCell ref="K33:K34"/>
    <mergeCell ref="L33:L34"/>
    <mergeCell ref="M33:M34"/>
    <mergeCell ref="N33:N34"/>
    <mergeCell ref="O33:O34"/>
    <mergeCell ref="P33:P34"/>
    <mergeCell ref="T37:T38"/>
    <mergeCell ref="A1:T1"/>
    <mergeCell ref="N37:N38"/>
    <mergeCell ref="O37:O38"/>
    <mergeCell ref="P37:P38"/>
    <mergeCell ref="Q37:Q38"/>
    <mergeCell ref="R37:R38"/>
    <mergeCell ref="S37:S38"/>
    <mergeCell ref="H37:H38"/>
    <mergeCell ref="I37:I38"/>
    <mergeCell ref="J37:J38"/>
    <mergeCell ref="K37:K38"/>
    <mergeCell ref="L37:L38"/>
    <mergeCell ref="M37:M38"/>
    <mergeCell ref="Q33:Q34"/>
    <mergeCell ref="R33:R34"/>
    <mergeCell ref="S33:S34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58" fitToHeight="10" orientation="landscape" r:id="rId1"/>
  <rowBreaks count="1" manualBreakCount="1">
    <brk id="35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7"/>
  <sheetViews>
    <sheetView view="pageBreakPreview" zoomScaleNormal="100" zoomScaleSheetLayoutView="100" workbookViewId="0">
      <selection activeCell="J12" sqref="J12"/>
    </sheetView>
  </sheetViews>
  <sheetFormatPr defaultColWidth="9.140625" defaultRowHeight="15" x14ac:dyDescent="0.25"/>
  <cols>
    <col min="1" max="1" width="9.28515625" style="173" bestFit="1" customWidth="1"/>
    <col min="2" max="2" width="6" style="173" customWidth="1"/>
    <col min="3" max="3" width="11.7109375" style="173" customWidth="1"/>
    <col min="4" max="4" width="7.7109375" style="173" customWidth="1"/>
    <col min="5" max="5" width="17.42578125" style="173" customWidth="1"/>
    <col min="6" max="6" width="9.28515625" style="173" bestFit="1" customWidth="1"/>
    <col min="7" max="7" width="11.85546875" style="173" bestFit="1" customWidth="1"/>
    <col min="8" max="8" width="10.140625" style="173" bestFit="1" customWidth="1"/>
    <col min="9" max="9" width="12" style="173" customWidth="1"/>
    <col min="10" max="10" width="13.140625" style="173" bestFit="1" customWidth="1"/>
    <col min="11" max="11" width="10.28515625" style="173" bestFit="1" customWidth="1"/>
    <col min="12" max="13" width="10.140625" style="173" bestFit="1" customWidth="1"/>
    <col min="14" max="14" width="12.85546875" style="173" bestFit="1" customWidth="1"/>
    <col min="15" max="15" width="10.5703125" style="173" bestFit="1" customWidth="1"/>
    <col min="16" max="16" width="9.28515625" style="173" bestFit="1" customWidth="1"/>
    <col min="17" max="17" width="11.85546875" style="173" bestFit="1" customWidth="1"/>
    <col min="18" max="18" width="14.85546875" style="173" bestFit="1" customWidth="1"/>
    <col min="19" max="19" width="9.140625" style="173" customWidth="1"/>
    <col min="20" max="21" width="9.28515625" style="173" bestFit="1" customWidth="1"/>
    <col min="22" max="22" width="12.5703125" style="173" bestFit="1" customWidth="1"/>
    <col min="23" max="23" width="9.28515625" style="173" bestFit="1" customWidth="1"/>
    <col min="24" max="24" width="11.5703125" style="173" bestFit="1" customWidth="1"/>
    <col min="25" max="28" width="9.28515625" style="173" bestFit="1" customWidth="1"/>
    <col min="29" max="16384" width="9.140625" style="173"/>
  </cols>
  <sheetData>
    <row r="1" spans="1:21" s="234" customFormat="1" ht="38.25" customHeight="1" x14ac:dyDescent="0.25">
      <c r="A1" s="451" t="s">
        <v>1077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</row>
    <row r="2" spans="1:21" s="234" customFormat="1" ht="18.75" x14ac:dyDescent="0.25">
      <c r="A2" s="402" t="s">
        <v>1078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</row>
    <row r="3" spans="1:21" s="234" customFormat="1" ht="18.75" x14ac:dyDescent="0.25"/>
    <row r="4" spans="1:21" ht="39.6" customHeight="1" x14ac:dyDescent="0.25">
      <c r="A4" s="432" t="s">
        <v>7</v>
      </c>
      <c r="B4" s="432"/>
      <c r="C4" s="432"/>
      <c r="D4" s="432"/>
      <c r="E4" s="432" t="s">
        <v>8</v>
      </c>
      <c r="F4" s="432" t="s">
        <v>9</v>
      </c>
      <c r="G4" s="432" t="s">
        <v>10</v>
      </c>
      <c r="H4" s="432"/>
      <c r="I4" s="432"/>
      <c r="J4" s="400" t="s">
        <v>11</v>
      </c>
      <c r="K4" s="400" t="s">
        <v>12</v>
      </c>
      <c r="L4" s="400" t="s">
        <v>13</v>
      </c>
      <c r="M4" s="400"/>
      <c r="N4" s="400"/>
    </row>
    <row r="5" spans="1:21" ht="23.45" customHeight="1" x14ac:dyDescent="0.25">
      <c r="A5" s="432"/>
      <c r="B5" s="432"/>
      <c r="C5" s="432"/>
      <c r="D5" s="432"/>
      <c r="E5" s="432"/>
      <c r="F5" s="432"/>
      <c r="G5" s="432" t="s">
        <v>14</v>
      </c>
      <c r="H5" s="432"/>
      <c r="I5" s="432" t="s">
        <v>15</v>
      </c>
      <c r="J5" s="400"/>
      <c r="K5" s="400"/>
      <c r="L5" s="432" t="s">
        <v>306</v>
      </c>
      <c r="M5" s="400" t="s">
        <v>16</v>
      </c>
      <c r="N5" s="400" t="s">
        <v>17</v>
      </c>
    </row>
    <row r="6" spans="1:21" ht="25.5" x14ac:dyDescent="0.25">
      <c r="A6" s="432"/>
      <c r="B6" s="432"/>
      <c r="C6" s="432"/>
      <c r="D6" s="432"/>
      <c r="E6" s="432"/>
      <c r="F6" s="432"/>
      <c r="G6" s="235" t="s">
        <v>337</v>
      </c>
      <c r="H6" s="235" t="s">
        <v>19</v>
      </c>
      <c r="I6" s="432"/>
      <c r="J6" s="400"/>
      <c r="K6" s="400"/>
      <c r="L6" s="432"/>
      <c r="M6" s="400"/>
      <c r="N6" s="400"/>
    </row>
    <row r="7" spans="1:21" x14ac:dyDescent="0.25">
      <c r="A7" s="400">
        <v>1</v>
      </c>
      <c r="B7" s="400"/>
      <c r="C7" s="400"/>
      <c r="D7" s="400"/>
      <c r="E7" s="232">
        <v>2</v>
      </c>
      <c r="F7" s="232">
        <v>3</v>
      </c>
      <c r="G7" s="232">
        <v>4</v>
      </c>
      <c r="H7" s="232">
        <v>5</v>
      </c>
      <c r="I7" s="232">
        <v>6</v>
      </c>
      <c r="J7" s="232">
        <v>7</v>
      </c>
      <c r="K7" s="232">
        <v>8</v>
      </c>
      <c r="L7" s="232">
        <v>9</v>
      </c>
      <c r="M7" s="232">
        <v>10</v>
      </c>
      <c r="N7" s="232">
        <v>11</v>
      </c>
    </row>
    <row r="8" spans="1:21" s="51" customFormat="1" ht="85.5" customHeight="1" x14ac:dyDescent="0.25">
      <c r="A8" s="459" t="s">
        <v>914</v>
      </c>
      <c r="B8" s="459"/>
      <c r="C8" s="459"/>
      <c r="D8" s="459"/>
      <c r="E8" s="174" t="s">
        <v>968</v>
      </c>
      <c r="F8" s="174">
        <v>1000</v>
      </c>
      <c r="G8" s="174" t="s">
        <v>970</v>
      </c>
      <c r="H8" s="174">
        <v>796</v>
      </c>
      <c r="I8" s="174">
        <v>13</v>
      </c>
      <c r="J8" s="243">
        <v>828358.04</v>
      </c>
      <c r="K8" s="249" t="s">
        <v>967</v>
      </c>
      <c r="L8" s="460" t="s">
        <v>1294</v>
      </c>
      <c r="M8" s="461"/>
      <c r="N8" s="462"/>
      <c r="P8" s="240"/>
      <c r="Q8" s="240"/>
      <c r="R8" s="240"/>
      <c r="S8" s="240"/>
      <c r="T8" s="240"/>
      <c r="U8" s="240"/>
    </row>
    <row r="9" spans="1:21" s="51" customFormat="1" ht="31.5" x14ac:dyDescent="0.25">
      <c r="A9" s="459" t="s">
        <v>474</v>
      </c>
      <c r="B9" s="459"/>
      <c r="C9" s="459"/>
      <c r="D9" s="459"/>
      <c r="E9" s="174" t="s">
        <v>969</v>
      </c>
      <c r="F9" s="174">
        <v>2000</v>
      </c>
      <c r="G9" s="174" t="s">
        <v>970</v>
      </c>
      <c r="H9" s="174">
        <v>796</v>
      </c>
      <c r="I9" s="174">
        <v>4</v>
      </c>
      <c r="J9" s="253">
        <f>I9*K9</f>
        <v>4000</v>
      </c>
      <c r="K9" s="249">
        <v>1000</v>
      </c>
      <c r="L9" s="49" t="s">
        <v>473</v>
      </c>
      <c r="M9" s="252">
        <v>43769</v>
      </c>
      <c r="N9" s="174">
        <v>810</v>
      </c>
    </row>
    <row r="10" spans="1:21" s="51" customFormat="1" ht="31.5" x14ac:dyDescent="0.25">
      <c r="A10" s="459" t="s">
        <v>475</v>
      </c>
      <c r="B10" s="459"/>
      <c r="C10" s="459"/>
      <c r="D10" s="459"/>
      <c r="E10" s="174" t="s">
        <v>969</v>
      </c>
      <c r="F10" s="174">
        <v>3000</v>
      </c>
      <c r="G10" s="174" t="s">
        <v>970</v>
      </c>
      <c r="H10" s="174">
        <v>796</v>
      </c>
      <c r="I10" s="174">
        <v>0</v>
      </c>
      <c r="J10" s="253">
        <f>I10*K10</f>
        <v>0</v>
      </c>
      <c r="K10" s="249">
        <v>3000</v>
      </c>
      <c r="L10" s="49" t="s">
        <v>473</v>
      </c>
      <c r="M10" s="252">
        <v>43769</v>
      </c>
      <c r="N10" s="174">
        <v>810</v>
      </c>
    </row>
    <row r="11" spans="1:21" s="51" customFormat="1" ht="31.5" x14ac:dyDescent="0.25">
      <c r="A11" s="459" t="s">
        <v>477</v>
      </c>
      <c r="B11" s="459"/>
      <c r="C11" s="459"/>
      <c r="D11" s="459"/>
      <c r="E11" s="174" t="s">
        <v>1006</v>
      </c>
      <c r="F11" s="174">
        <v>4000</v>
      </c>
      <c r="G11" s="174" t="s">
        <v>995</v>
      </c>
      <c r="H11" s="174">
        <v>356</v>
      </c>
      <c r="I11" s="174">
        <f>I13</f>
        <v>24</v>
      </c>
      <c r="J11" s="249">
        <f>J13</f>
        <v>14400</v>
      </c>
      <c r="K11" s="249"/>
      <c r="L11" s="49" t="s">
        <v>473</v>
      </c>
      <c r="M11" s="252">
        <v>43769</v>
      </c>
      <c r="N11" s="174">
        <v>810</v>
      </c>
    </row>
    <row r="12" spans="1:21" s="51" customFormat="1" ht="11.25" x14ac:dyDescent="0.25">
      <c r="A12" s="458" t="s">
        <v>999</v>
      </c>
      <c r="B12" s="458"/>
      <c r="C12" s="458"/>
      <c r="D12" s="458"/>
      <c r="E12" s="174" t="s">
        <v>1006</v>
      </c>
      <c r="F12" s="174">
        <v>4001</v>
      </c>
      <c r="G12" s="174" t="s">
        <v>995</v>
      </c>
      <c r="H12" s="174">
        <v>356</v>
      </c>
      <c r="I12" s="174"/>
      <c r="J12" s="253"/>
      <c r="K12" s="249">
        <v>750</v>
      </c>
      <c r="L12" s="49"/>
      <c r="M12" s="252"/>
      <c r="N12" s="174"/>
    </row>
    <row r="13" spans="1:21" s="51" customFormat="1" ht="11.25" x14ac:dyDescent="0.25">
      <c r="A13" s="458" t="s">
        <v>1000</v>
      </c>
      <c r="B13" s="458"/>
      <c r="C13" s="458"/>
      <c r="D13" s="458"/>
      <c r="E13" s="174" t="s">
        <v>1006</v>
      </c>
      <c r="F13" s="174">
        <v>4002</v>
      </c>
      <c r="G13" s="174" t="s">
        <v>995</v>
      </c>
      <c r="H13" s="174">
        <v>356</v>
      </c>
      <c r="I13" s="174">
        <v>24</v>
      </c>
      <c r="J13" s="253">
        <f>I13*K13</f>
        <v>14400</v>
      </c>
      <c r="K13" s="249">
        <v>600</v>
      </c>
      <c r="L13" s="49"/>
      <c r="M13" s="252"/>
      <c r="N13" s="174"/>
    </row>
    <row r="14" spans="1:21" s="51" customFormat="1" ht="49.5" customHeight="1" x14ac:dyDescent="0.25">
      <c r="A14" s="452" t="s">
        <v>1002</v>
      </c>
      <c r="B14" s="453"/>
      <c r="C14" s="453"/>
      <c r="D14" s="454"/>
      <c r="E14" s="174" t="s">
        <v>1006</v>
      </c>
      <c r="F14" s="174">
        <v>4003</v>
      </c>
      <c r="G14" s="174" t="s">
        <v>995</v>
      </c>
      <c r="H14" s="174">
        <v>356</v>
      </c>
      <c r="I14" s="174"/>
      <c r="J14" s="249">
        <v>0</v>
      </c>
      <c r="K14" s="249" t="s">
        <v>998</v>
      </c>
      <c r="L14" s="49"/>
      <c r="M14" s="252"/>
      <c r="N14" s="174"/>
    </row>
    <row r="15" spans="1:21" s="51" customFormat="1" ht="31.5" x14ac:dyDescent="0.25">
      <c r="A15" s="459" t="s">
        <v>478</v>
      </c>
      <c r="B15" s="459"/>
      <c r="C15" s="459"/>
      <c r="D15" s="459"/>
      <c r="E15" s="174" t="s">
        <v>1006</v>
      </c>
      <c r="F15" s="174">
        <v>5000</v>
      </c>
      <c r="G15" s="174" t="s">
        <v>995</v>
      </c>
      <c r="H15" s="174">
        <v>356</v>
      </c>
      <c r="I15" s="174">
        <f>SUM(I16:I17)</f>
        <v>24</v>
      </c>
      <c r="J15" s="249">
        <f>SUM(J16:J17)</f>
        <v>6000</v>
      </c>
      <c r="K15" s="249"/>
      <c r="L15" s="49" t="s">
        <v>473</v>
      </c>
      <c r="M15" s="252">
        <v>43769</v>
      </c>
      <c r="N15" s="174">
        <v>810</v>
      </c>
    </row>
    <row r="16" spans="1:21" s="51" customFormat="1" ht="31.5" customHeight="1" x14ac:dyDescent="0.25">
      <c r="A16" s="452" t="s">
        <v>478</v>
      </c>
      <c r="B16" s="453"/>
      <c r="C16" s="453"/>
      <c r="D16" s="454"/>
      <c r="E16" s="174" t="s">
        <v>1006</v>
      </c>
      <c r="F16" s="174">
        <v>5001</v>
      </c>
      <c r="G16" s="174" t="s">
        <v>995</v>
      </c>
      <c r="H16" s="174">
        <v>356</v>
      </c>
      <c r="I16" s="174">
        <v>24</v>
      </c>
      <c r="J16" s="253">
        <f>K16*I16</f>
        <v>6000</v>
      </c>
      <c r="K16" s="249">
        <v>250</v>
      </c>
      <c r="L16" s="49"/>
      <c r="M16" s="252"/>
      <c r="N16" s="174"/>
    </row>
    <row r="17" spans="1:14" s="51" customFormat="1" ht="68.25" customHeight="1" x14ac:dyDescent="0.25">
      <c r="A17" s="458" t="s">
        <v>1001</v>
      </c>
      <c r="B17" s="458"/>
      <c r="C17" s="458"/>
      <c r="D17" s="458"/>
      <c r="E17" s="174" t="s">
        <v>1006</v>
      </c>
      <c r="F17" s="174">
        <v>5002</v>
      </c>
      <c r="G17" s="174" t="s">
        <v>995</v>
      </c>
      <c r="H17" s="174">
        <v>356</v>
      </c>
      <c r="I17" s="174">
        <v>0</v>
      </c>
      <c r="J17" s="249">
        <v>0</v>
      </c>
      <c r="K17" s="249" t="s">
        <v>998</v>
      </c>
      <c r="L17" s="49"/>
      <c r="M17" s="252"/>
      <c r="N17" s="174"/>
    </row>
    <row r="18" spans="1:14" s="51" customFormat="1" ht="42" customHeight="1" x14ac:dyDescent="0.25">
      <c r="A18" s="455" t="s">
        <v>915</v>
      </c>
      <c r="B18" s="456"/>
      <c r="C18" s="456"/>
      <c r="D18" s="457"/>
      <c r="E18" s="174" t="s">
        <v>997</v>
      </c>
      <c r="F18" s="174">
        <v>6000</v>
      </c>
      <c r="G18" s="174" t="s">
        <v>996</v>
      </c>
      <c r="H18" s="174">
        <v>359</v>
      </c>
      <c r="I18" s="174">
        <f>SUM(I19:I20)</f>
        <v>0</v>
      </c>
      <c r="J18" s="174">
        <f>SUM(J19:J20)</f>
        <v>0</v>
      </c>
      <c r="K18" s="249"/>
      <c r="L18" s="49" t="s">
        <v>473</v>
      </c>
      <c r="M18" s="252">
        <v>43769</v>
      </c>
      <c r="N18" s="174">
        <v>810</v>
      </c>
    </row>
    <row r="19" spans="1:14" s="51" customFormat="1" ht="11.25" customHeight="1" x14ac:dyDescent="0.25">
      <c r="A19" s="452" t="s">
        <v>1003</v>
      </c>
      <c r="B19" s="453"/>
      <c r="C19" s="453"/>
      <c r="D19" s="454"/>
      <c r="E19" s="174" t="s">
        <v>997</v>
      </c>
      <c r="F19" s="174">
        <v>6001</v>
      </c>
      <c r="G19" s="174" t="s">
        <v>996</v>
      </c>
      <c r="H19" s="174">
        <v>359</v>
      </c>
      <c r="I19" s="174">
        <v>0</v>
      </c>
      <c r="J19" s="249">
        <v>0</v>
      </c>
      <c r="K19" s="249">
        <v>5490</v>
      </c>
      <c r="L19" s="49"/>
      <c r="M19" s="252"/>
      <c r="N19" s="174"/>
    </row>
    <row r="20" spans="1:14" s="51" customFormat="1" ht="11.25" customHeight="1" x14ac:dyDescent="0.25">
      <c r="A20" s="452" t="s">
        <v>1004</v>
      </c>
      <c r="B20" s="453"/>
      <c r="C20" s="453"/>
      <c r="D20" s="454"/>
      <c r="E20" s="174" t="s">
        <v>997</v>
      </c>
      <c r="F20" s="174">
        <v>6002</v>
      </c>
      <c r="G20" s="174" t="s">
        <v>996</v>
      </c>
      <c r="H20" s="174">
        <v>359</v>
      </c>
      <c r="I20" s="174">
        <v>0</v>
      </c>
      <c r="J20" s="249">
        <v>0</v>
      </c>
      <c r="K20" s="249">
        <v>2499</v>
      </c>
      <c r="L20" s="49"/>
      <c r="M20" s="252"/>
      <c r="N20" s="174"/>
    </row>
    <row r="21" spans="1:14" s="51" customFormat="1" ht="36" customHeight="1" x14ac:dyDescent="0.25">
      <c r="A21" s="455" t="s">
        <v>916</v>
      </c>
      <c r="B21" s="456"/>
      <c r="C21" s="456"/>
      <c r="D21" s="457"/>
      <c r="E21" s="174" t="s">
        <v>997</v>
      </c>
      <c r="F21" s="174">
        <v>7000</v>
      </c>
      <c r="G21" s="174" t="s">
        <v>996</v>
      </c>
      <c r="H21" s="174">
        <v>359</v>
      </c>
      <c r="I21" s="174">
        <v>0</v>
      </c>
      <c r="J21" s="174">
        <f>SUM(J22:J23)</f>
        <v>0</v>
      </c>
      <c r="K21" s="249"/>
      <c r="L21" s="49" t="s">
        <v>473</v>
      </c>
      <c r="M21" s="252">
        <v>43769</v>
      </c>
      <c r="N21" s="174">
        <v>810</v>
      </c>
    </row>
    <row r="22" spans="1:14" s="51" customFormat="1" ht="11.25" customHeight="1" x14ac:dyDescent="0.25">
      <c r="A22" s="452" t="s">
        <v>1003</v>
      </c>
      <c r="B22" s="453"/>
      <c r="C22" s="453"/>
      <c r="D22" s="454"/>
      <c r="E22" s="174" t="s">
        <v>997</v>
      </c>
      <c r="F22" s="174">
        <v>7001</v>
      </c>
      <c r="G22" s="174" t="s">
        <v>996</v>
      </c>
      <c r="H22" s="174">
        <v>359</v>
      </c>
      <c r="I22" s="174">
        <v>0</v>
      </c>
      <c r="J22" s="249">
        <v>0</v>
      </c>
      <c r="K22" s="249">
        <v>1373</v>
      </c>
      <c r="L22" s="49"/>
      <c r="M22" s="252"/>
      <c r="N22" s="174"/>
    </row>
    <row r="23" spans="1:14" s="51" customFormat="1" ht="11.25" customHeight="1" x14ac:dyDescent="0.25">
      <c r="A23" s="452" t="s">
        <v>1004</v>
      </c>
      <c r="B23" s="453"/>
      <c r="C23" s="453"/>
      <c r="D23" s="454"/>
      <c r="E23" s="174" t="s">
        <v>997</v>
      </c>
      <c r="F23" s="174">
        <v>7002</v>
      </c>
      <c r="G23" s="174" t="s">
        <v>996</v>
      </c>
      <c r="H23" s="174">
        <v>359</v>
      </c>
      <c r="I23" s="174">
        <v>0</v>
      </c>
      <c r="J23" s="249">
        <v>0</v>
      </c>
      <c r="K23" s="249">
        <v>625</v>
      </c>
      <c r="L23" s="49"/>
      <c r="M23" s="252"/>
      <c r="N23" s="174"/>
    </row>
    <row r="24" spans="1:14" s="51" customFormat="1" ht="31.5" customHeight="1" x14ac:dyDescent="0.25">
      <c r="A24" s="455" t="s">
        <v>917</v>
      </c>
      <c r="B24" s="456"/>
      <c r="C24" s="456"/>
      <c r="D24" s="457"/>
      <c r="E24" s="174" t="s">
        <v>997</v>
      </c>
      <c r="F24" s="174">
        <v>8000</v>
      </c>
      <c r="G24" s="174" t="s">
        <v>996</v>
      </c>
      <c r="H24" s="174">
        <v>359</v>
      </c>
      <c r="I24" s="174">
        <v>0</v>
      </c>
      <c r="J24" s="174">
        <f>SUM(J25:J26)</f>
        <v>0</v>
      </c>
      <c r="K24" s="249"/>
      <c r="L24" s="49" t="s">
        <v>473</v>
      </c>
      <c r="M24" s="252">
        <v>43769</v>
      </c>
      <c r="N24" s="174">
        <v>810</v>
      </c>
    </row>
    <row r="25" spans="1:14" s="51" customFormat="1" ht="11.25" customHeight="1" x14ac:dyDescent="0.25">
      <c r="A25" s="452" t="s">
        <v>1003</v>
      </c>
      <c r="B25" s="453"/>
      <c r="C25" s="453"/>
      <c r="D25" s="454"/>
      <c r="E25" s="174" t="s">
        <v>997</v>
      </c>
      <c r="F25" s="174">
        <v>8001</v>
      </c>
      <c r="G25" s="174" t="s">
        <v>996</v>
      </c>
      <c r="H25" s="174">
        <v>359</v>
      </c>
      <c r="I25" s="174">
        <v>0</v>
      </c>
      <c r="J25" s="249">
        <v>0</v>
      </c>
      <c r="K25" s="249">
        <v>970</v>
      </c>
      <c r="L25" s="49"/>
      <c r="M25" s="252"/>
      <c r="N25" s="174"/>
    </row>
    <row r="26" spans="1:14" s="51" customFormat="1" ht="11.25" customHeight="1" x14ac:dyDescent="0.25">
      <c r="A26" s="452" t="s">
        <v>1004</v>
      </c>
      <c r="B26" s="453"/>
      <c r="C26" s="453"/>
      <c r="D26" s="454"/>
      <c r="E26" s="174" t="s">
        <v>997</v>
      </c>
      <c r="F26" s="174">
        <v>8002</v>
      </c>
      <c r="G26" s="174" t="s">
        <v>996</v>
      </c>
      <c r="H26" s="174">
        <v>359</v>
      </c>
      <c r="I26" s="174">
        <v>0</v>
      </c>
      <c r="J26" s="249">
        <v>0</v>
      </c>
      <c r="K26" s="249">
        <v>250</v>
      </c>
      <c r="L26" s="49"/>
      <c r="M26" s="252"/>
      <c r="N26" s="174"/>
    </row>
    <row r="27" spans="1:14" s="51" customFormat="1" ht="31.5" customHeight="1" x14ac:dyDescent="0.25">
      <c r="A27" s="455" t="s">
        <v>918</v>
      </c>
      <c r="B27" s="456"/>
      <c r="C27" s="456"/>
      <c r="D27" s="457"/>
      <c r="E27" s="174" t="s">
        <v>997</v>
      </c>
      <c r="F27" s="174">
        <v>9000</v>
      </c>
      <c r="G27" s="174" t="s">
        <v>996</v>
      </c>
      <c r="H27" s="174">
        <v>359</v>
      </c>
      <c r="I27" s="174">
        <v>0</v>
      </c>
      <c r="J27" s="249">
        <v>0</v>
      </c>
      <c r="K27" s="249">
        <v>327</v>
      </c>
      <c r="L27" s="49" t="s">
        <v>473</v>
      </c>
      <c r="M27" s="252">
        <v>43769</v>
      </c>
      <c r="N27" s="174">
        <v>810</v>
      </c>
    </row>
    <row r="28" spans="1:14" s="51" customFormat="1" ht="31.5" customHeight="1" x14ac:dyDescent="0.25">
      <c r="A28" s="455" t="s">
        <v>918</v>
      </c>
      <c r="B28" s="456"/>
      <c r="C28" s="456"/>
      <c r="D28" s="457"/>
      <c r="E28" s="174"/>
      <c r="F28" s="174"/>
      <c r="G28" s="174"/>
      <c r="H28" s="174"/>
      <c r="I28" s="174"/>
      <c r="J28" s="249"/>
      <c r="K28" s="249"/>
      <c r="L28" s="49"/>
      <c r="M28" s="252"/>
      <c r="N28" s="174"/>
    </row>
    <row r="29" spans="1:14" s="133" customFormat="1" ht="20.25" customHeight="1" x14ac:dyDescent="0.25">
      <c r="A29" s="450" t="s">
        <v>20</v>
      </c>
      <c r="B29" s="450"/>
      <c r="C29" s="450"/>
      <c r="D29" s="450"/>
      <c r="E29" s="450"/>
      <c r="F29" s="237"/>
      <c r="G29" s="237" t="s">
        <v>21</v>
      </c>
      <c r="H29" s="237" t="s">
        <v>21</v>
      </c>
      <c r="I29" s="237"/>
      <c r="J29" s="134">
        <f>J8+J9+J13+J15</f>
        <v>852758.04</v>
      </c>
      <c r="K29" s="237"/>
      <c r="L29" s="237" t="s">
        <v>21</v>
      </c>
      <c r="M29" s="237" t="s">
        <v>21</v>
      </c>
      <c r="N29" s="237" t="s">
        <v>21</v>
      </c>
    </row>
    <row r="30" spans="1:14" x14ac:dyDescent="0.25">
      <c r="D30" s="238"/>
    </row>
    <row r="31" spans="1:14" s="234" customFormat="1" ht="18.75" x14ac:dyDescent="0.25">
      <c r="A31" s="402" t="s">
        <v>1079</v>
      </c>
      <c r="B31" s="402"/>
      <c r="C31" s="402"/>
      <c r="D31" s="402"/>
      <c r="E31" s="402"/>
      <c r="F31" s="402"/>
      <c r="G31" s="402"/>
      <c r="H31" s="402"/>
      <c r="I31" s="402"/>
      <c r="J31" s="402"/>
      <c r="K31" s="402"/>
      <c r="L31" s="402"/>
      <c r="M31" s="402"/>
      <c r="N31" s="402"/>
    </row>
    <row r="32" spans="1:14" x14ac:dyDescent="0.25">
      <c r="D32" s="238"/>
    </row>
    <row r="33" spans="1:18" ht="39.6" customHeight="1" x14ac:dyDescent="0.25">
      <c r="A33" s="432" t="s">
        <v>281</v>
      </c>
      <c r="B33" s="432"/>
      <c r="C33" s="432"/>
      <c r="D33" s="432"/>
      <c r="E33" s="432" t="s">
        <v>8</v>
      </c>
      <c r="F33" s="432" t="s">
        <v>9</v>
      </c>
      <c r="G33" s="432" t="s">
        <v>282</v>
      </c>
      <c r="H33" s="432"/>
      <c r="I33" s="432"/>
      <c r="J33" s="432" t="s">
        <v>11</v>
      </c>
      <c r="K33" s="432" t="s">
        <v>12</v>
      </c>
      <c r="L33" s="432" t="s">
        <v>13</v>
      </c>
      <c r="M33" s="432"/>
      <c r="N33" s="432"/>
    </row>
    <row r="34" spans="1:18" ht="23.45" customHeight="1" x14ac:dyDescent="0.25">
      <c r="A34" s="432"/>
      <c r="B34" s="432"/>
      <c r="C34" s="432"/>
      <c r="D34" s="432"/>
      <c r="E34" s="432"/>
      <c r="F34" s="432"/>
      <c r="G34" s="432" t="s">
        <v>14</v>
      </c>
      <c r="H34" s="432"/>
      <c r="I34" s="432" t="s">
        <v>15</v>
      </c>
      <c r="J34" s="432"/>
      <c r="K34" s="432"/>
      <c r="L34" s="432" t="s">
        <v>306</v>
      </c>
      <c r="M34" s="432" t="s">
        <v>16</v>
      </c>
      <c r="N34" s="432" t="s">
        <v>17</v>
      </c>
    </row>
    <row r="35" spans="1:18" ht="25.5" x14ac:dyDescent="0.25">
      <c r="A35" s="432"/>
      <c r="B35" s="432"/>
      <c r="C35" s="432"/>
      <c r="D35" s="432"/>
      <c r="E35" s="432"/>
      <c r="F35" s="432"/>
      <c r="G35" s="235" t="s">
        <v>337</v>
      </c>
      <c r="H35" s="235" t="s">
        <v>19</v>
      </c>
      <c r="I35" s="432"/>
      <c r="J35" s="432"/>
      <c r="K35" s="432"/>
      <c r="L35" s="432"/>
      <c r="M35" s="432"/>
      <c r="N35" s="432"/>
      <c r="R35" s="362"/>
    </row>
    <row r="36" spans="1:18" x14ac:dyDescent="0.25">
      <c r="A36" s="432">
        <v>1</v>
      </c>
      <c r="B36" s="432"/>
      <c r="C36" s="432"/>
      <c r="D36" s="432"/>
      <c r="E36" s="235">
        <v>2</v>
      </c>
      <c r="F36" s="235">
        <v>3</v>
      </c>
      <c r="G36" s="235">
        <v>4</v>
      </c>
      <c r="H36" s="235">
        <v>5</v>
      </c>
      <c r="I36" s="235">
        <v>6</v>
      </c>
      <c r="J36" s="235">
        <v>7</v>
      </c>
      <c r="K36" s="235">
        <v>8</v>
      </c>
      <c r="L36" s="235">
        <v>9</v>
      </c>
      <c r="M36" s="235">
        <v>10</v>
      </c>
      <c r="N36" s="235">
        <v>11</v>
      </c>
    </row>
    <row r="37" spans="1:18" s="51" customFormat="1" ht="11.25" hidden="1" x14ac:dyDescent="0.25">
      <c r="A37" s="444"/>
      <c r="B37" s="445"/>
      <c r="C37" s="445"/>
      <c r="D37" s="446"/>
      <c r="E37" s="244"/>
      <c r="F37" s="244"/>
      <c r="G37" s="174"/>
      <c r="H37" s="174"/>
      <c r="I37" s="174"/>
      <c r="J37" s="249"/>
      <c r="K37" s="249"/>
      <c r="L37" s="438"/>
      <c r="M37" s="439"/>
      <c r="N37" s="440"/>
    </row>
    <row r="38" spans="1:18" s="51" customFormat="1" ht="11.25" hidden="1" x14ac:dyDescent="0.25">
      <c r="A38" s="441"/>
      <c r="B38" s="442"/>
      <c r="C38" s="442"/>
      <c r="D38" s="443"/>
      <c r="E38" s="244"/>
      <c r="F38" s="244"/>
      <c r="G38" s="174"/>
      <c r="H38" s="174"/>
      <c r="I38" s="244"/>
      <c r="J38" s="42"/>
      <c r="K38" s="42"/>
      <c r="L38" s="438"/>
      <c r="M38" s="439"/>
      <c r="N38" s="440"/>
    </row>
    <row r="39" spans="1:18" s="51" customFormat="1" ht="66" customHeight="1" x14ac:dyDescent="0.25">
      <c r="A39" s="447" t="s">
        <v>1007</v>
      </c>
      <c r="B39" s="448"/>
      <c r="C39" s="448"/>
      <c r="D39" s="449"/>
      <c r="E39" s="244" t="s">
        <v>968</v>
      </c>
      <c r="F39" s="244">
        <v>2000</v>
      </c>
      <c r="G39" s="174" t="s">
        <v>970</v>
      </c>
      <c r="H39" s="174">
        <v>796</v>
      </c>
      <c r="I39" s="244">
        <f>SUM(I40:I41)</f>
        <v>2</v>
      </c>
      <c r="J39" s="42">
        <f>SUM(J40:J41)</f>
        <v>15810</v>
      </c>
      <c r="K39" s="42"/>
      <c r="L39" s="438"/>
      <c r="M39" s="439"/>
      <c r="N39" s="440"/>
    </row>
    <row r="40" spans="1:18" s="51" customFormat="1" ht="27" customHeight="1" x14ac:dyDescent="0.25">
      <c r="A40" s="433" t="s">
        <v>1005</v>
      </c>
      <c r="B40" s="434"/>
      <c r="C40" s="434"/>
      <c r="D40" s="435"/>
      <c r="E40" s="244" t="s">
        <v>968</v>
      </c>
      <c r="F40" s="244">
        <v>2001</v>
      </c>
      <c r="G40" s="174" t="s">
        <v>970</v>
      </c>
      <c r="H40" s="174">
        <v>796</v>
      </c>
      <c r="I40" s="244">
        <v>1</v>
      </c>
      <c r="J40" s="42">
        <v>10810</v>
      </c>
      <c r="K40" s="42">
        <f t="shared" ref="K40:K41" si="0">J40/I40</f>
        <v>10810</v>
      </c>
      <c r="L40" s="438" t="s">
        <v>971</v>
      </c>
      <c r="M40" s="439"/>
      <c r="N40" s="440"/>
    </row>
    <row r="41" spans="1:18" s="51" customFormat="1" ht="26.25" customHeight="1" x14ac:dyDescent="0.25">
      <c r="A41" s="433" t="s">
        <v>989</v>
      </c>
      <c r="B41" s="434"/>
      <c r="C41" s="434"/>
      <c r="D41" s="435"/>
      <c r="E41" s="244" t="s">
        <v>968</v>
      </c>
      <c r="F41" s="244">
        <v>2002</v>
      </c>
      <c r="G41" s="174" t="s">
        <v>970</v>
      </c>
      <c r="H41" s="174">
        <v>796</v>
      </c>
      <c r="I41" s="244">
        <v>1</v>
      </c>
      <c r="J41" s="42">
        <v>5000</v>
      </c>
      <c r="K41" s="42">
        <f t="shared" si="0"/>
        <v>5000</v>
      </c>
      <c r="L41" s="438" t="s">
        <v>971</v>
      </c>
      <c r="M41" s="439"/>
      <c r="N41" s="440"/>
    </row>
    <row r="42" spans="1:18" s="51" customFormat="1" ht="1.5" hidden="1" customHeight="1" x14ac:dyDescent="0.25">
      <c r="A42" s="433" t="s">
        <v>1390</v>
      </c>
      <c r="B42" s="434"/>
      <c r="C42" s="434"/>
      <c r="D42" s="435"/>
      <c r="E42" s="353" t="s">
        <v>968</v>
      </c>
      <c r="F42" s="353">
        <v>2003</v>
      </c>
      <c r="G42" s="174" t="s">
        <v>970</v>
      </c>
      <c r="H42" s="174">
        <v>796</v>
      </c>
      <c r="I42" s="353">
        <v>1</v>
      </c>
      <c r="J42" s="42"/>
      <c r="K42" s="42"/>
      <c r="L42" s="350"/>
      <c r="M42" s="351"/>
      <c r="N42" s="352"/>
    </row>
    <row r="43" spans="1:18" s="133" customFormat="1" ht="12.75" x14ac:dyDescent="0.25">
      <c r="A43" s="436" t="s">
        <v>20</v>
      </c>
      <c r="B43" s="436"/>
      <c r="C43" s="436"/>
      <c r="D43" s="436"/>
      <c r="E43" s="436"/>
      <c r="F43" s="236">
        <v>9000</v>
      </c>
      <c r="G43" s="236" t="s">
        <v>21</v>
      </c>
      <c r="H43" s="236" t="s">
        <v>21</v>
      </c>
      <c r="I43" s="236"/>
      <c r="J43" s="135">
        <f>J37+J39+J42</f>
        <v>15810</v>
      </c>
      <c r="K43" s="236"/>
      <c r="L43" s="236" t="s">
        <v>21</v>
      </c>
      <c r="M43" s="236" t="s">
        <v>21</v>
      </c>
      <c r="N43" s="236" t="s">
        <v>21</v>
      </c>
    </row>
    <row r="44" spans="1:18" x14ac:dyDescent="0.25">
      <c r="A44" s="54"/>
      <c r="B44" s="54"/>
      <c r="C44" s="54"/>
      <c r="D44" s="172"/>
      <c r="E44" s="54"/>
      <c r="F44" s="54"/>
      <c r="G44" s="54"/>
      <c r="H44" s="54"/>
      <c r="I44" s="54"/>
      <c r="J44" s="54"/>
      <c r="K44" s="54"/>
      <c r="L44" s="54"/>
      <c r="M44" s="54"/>
      <c r="N44" s="54"/>
    </row>
    <row r="45" spans="1:18" s="234" customFormat="1" ht="18.75" x14ac:dyDescent="0.25">
      <c r="A45" s="437" t="s">
        <v>1080</v>
      </c>
      <c r="B45" s="437"/>
      <c r="C45" s="437"/>
      <c r="D45" s="437"/>
      <c r="E45" s="437"/>
      <c r="F45" s="437"/>
      <c r="G45" s="437"/>
      <c r="H45" s="437"/>
      <c r="I45" s="437"/>
      <c r="J45" s="437"/>
      <c r="K45" s="437"/>
      <c r="L45" s="437"/>
      <c r="M45" s="437"/>
      <c r="N45" s="437"/>
    </row>
    <row r="46" spans="1:18" x14ac:dyDescent="0.25">
      <c r="A46" s="54"/>
      <c r="B46" s="54"/>
      <c r="C46" s="54"/>
      <c r="D46" s="172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1:18" ht="39.6" customHeight="1" x14ac:dyDescent="0.25">
      <c r="A47" s="432" t="s">
        <v>283</v>
      </c>
      <c r="B47" s="432"/>
      <c r="C47" s="432"/>
      <c r="D47" s="432"/>
      <c r="E47" s="432" t="s">
        <v>8</v>
      </c>
      <c r="F47" s="432" t="s">
        <v>9</v>
      </c>
      <c r="G47" s="432" t="s">
        <v>284</v>
      </c>
      <c r="H47" s="432"/>
      <c r="I47" s="432"/>
      <c r="J47" s="432" t="s">
        <v>11</v>
      </c>
      <c r="K47" s="432" t="s">
        <v>12</v>
      </c>
      <c r="L47" s="432" t="s">
        <v>13</v>
      </c>
      <c r="M47" s="432"/>
      <c r="N47" s="432"/>
    </row>
    <row r="48" spans="1:18" ht="23.45" customHeight="1" x14ac:dyDescent="0.25">
      <c r="A48" s="432"/>
      <c r="B48" s="432"/>
      <c r="C48" s="432"/>
      <c r="D48" s="432"/>
      <c r="E48" s="432"/>
      <c r="F48" s="432"/>
      <c r="G48" s="432" t="s">
        <v>14</v>
      </c>
      <c r="H48" s="432"/>
      <c r="I48" s="432" t="s">
        <v>15</v>
      </c>
      <c r="J48" s="432"/>
      <c r="K48" s="432"/>
      <c r="L48" s="432" t="s">
        <v>306</v>
      </c>
      <c r="M48" s="432" t="s">
        <v>16</v>
      </c>
      <c r="N48" s="432" t="s">
        <v>17</v>
      </c>
    </row>
    <row r="49" spans="1:14" ht="25.5" x14ac:dyDescent="0.25">
      <c r="A49" s="432"/>
      <c r="B49" s="432"/>
      <c r="C49" s="432"/>
      <c r="D49" s="432"/>
      <c r="E49" s="432"/>
      <c r="F49" s="432"/>
      <c r="G49" s="235" t="s">
        <v>337</v>
      </c>
      <c r="H49" s="235" t="s">
        <v>19</v>
      </c>
      <c r="I49" s="432"/>
      <c r="J49" s="432"/>
      <c r="K49" s="432"/>
      <c r="L49" s="432"/>
      <c r="M49" s="432"/>
      <c r="N49" s="432"/>
    </row>
    <row r="50" spans="1:14" x14ac:dyDescent="0.25">
      <c r="A50" s="400">
        <v>1</v>
      </c>
      <c r="B50" s="400"/>
      <c r="C50" s="400"/>
      <c r="D50" s="400"/>
      <c r="E50" s="232">
        <v>2</v>
      </c>
      <c r="F50" s="232">
        <v>3</v>
      </c>
      <c r="G50" s="232">
        <v>4</v>
      </c>
      <c r="H50" s="232">
        <v>5</v>
      </c>
      <c r="I50" s="232">
        <v>6</v>
      </c>
      <c r="J50" s="232">
        <v>7</v>
      </c>
      <c r="K50" s="232">
        <v>8</v>
      </c>
      <c r="L50" s="232">
        <v>9</v>
      </c>
      <c r="M50" s="232">
        <v>10</v>
      </c>
      <c r="N50" s="232">
        <v>11</v>
      </c>
    </row>
    <row r="51" spans="1:14" x14ac:dyDescent="0.25">
      <c r="A51" s="431"/>
      <c r="B51" s="431"/>
      <c r="C51" s="431"/>
      <c r="D51" s="431"/>
      <c r="E51" s="232"/>
      <c r="F51" s="232">
        <v>1000</v>
      </c>
      <c r="G51" s="232"/>
      <c r="H51" s="232"/>
      <c r="I51" s="232"/>
      <c r="J51" s="232"/>
      <c r="K51" s="232"/>
      <c r="L51" s="232"/>
      <c r="M51" s="232"/>
      <c r="N51" s="232"/>
    </row>
    <row r="52" spans="1:14" x14ac:dyDescent="0.25">
      <c r="A52" s="431"/>
      <c r="B52" s="431"/>
      <c r="C52" s="431"/>
      <c r="D52" s="431"/>
      <c r="E52" s="232"/>
      <c r="F52" s="232">
        <v>2000</v>
      </c>
      <c r="G52" s="232"/>
      <c r="H52" s="232"/>
      <c r="I52" s="232"/>
      <c r="J52" s="232"/>
      <c r="K52" s="232"/>
      <c r="L52" s="232"/>
      <c r="M52" s="232"/>
      <c r="N52" s="232"/>
    </row>
    <row r="53" spans="1:14" x14ac:dyDescent="0.25">
      <c r="A53" s="431"/>
      <c r="B53" s="431"/>
      <c r="C53" s="431"/>
      <c r="D53" s="431"/>
      <c r="E53" s="232"/>
      <c r="F53" s="232"/>
      <c r="G53" s="232"/>
      <c r="H53" s="232"/>
      <c r="I53" s="232"/>
      <c r="J53" s="232"/>
      <c r="K53" s="232"/>
      <c r="L53" s="232"/>
      <c r="M53" s="232"/>
      <c r="N53" s="232"/>
    </row>
    <row r="54" spans="1:14" x14ac:dyDescent="0.25">
      <c r="A54" s="400" t="s">
        <v>20</v>
      </c>
      <c r="B54" s="400"/>
      <c r="C54" s="400"/>
      <c r="D54" s="400"/>
      <c r="E54" s="400"/>
      <c r="F54" s="232">
        <v>9000</v>
      </c>
      <c r="G54" s="232" t="s">
        <v>21</v>
      </c>
      <c r="H54" s="232" t="s">
        <v>21</v>
      </c>
      <c r="I54" s="232"/>
      <c r="J54" s="232"/>
      <c r="K54" s="232"/>
      <c r="L54" s="232" t="s">
        <v>21</v>
      </c>
      <c r="M54" s="232" t="s">
        <v>21</v>
      </c>
      <c r="N54" s="232" t="s">
        <v>21</v>
      </c>
    </row>
    <row r="57" spans="1:14" x14ac:dyDescent="0.25">
      <c r="J57" s="184">
        <f>J29+J43</f>
        <v>868568.04</v>
      </c>
    </row>
  </sheetData>
  <mergeCells count="82">
    <mergeCell ref="A28:D28"/>
    <mergeCell ref="A42:D42"/>
    <mergeCell ref="L8:N8"/>
    <mergeCell ref="A9:D9"/>
    <mergeCell ref="A10:D10"/>
    <mergeCell ref="A11:D11"/>
    <mergeCell ref="A36:D36"/>
    <mergeCell ref="A15:D15"/>
    <mergeCell ref="A18:D18"/>
    <mergeCell ref="A19:D19"/>
    <mergeCell ref="A25:D25"/>
    <mergeCell ref="A26:D26"/>
    <mergeCell ref="A27:D27"/>
    <mergeCell ref="A20:D20"/>
    <mergeCell ref="A21:D21"/>
    <mergeCell ref="A22:D22"/>
    <mergeCell ref="A23:D23"/>
    <mergeCell ref="A24:D24"/>
    <mergeCell ref="A7:D7"/>
    <mergeCell ref="A14:D14"/>
    <mergeCell ref="A12:D12"/>
    <mergeCell ref="A13:D13"/>
    <mergeCell ref="A8:D8"/>
    <mergeCell ref="A17:D17"/>
    <mergeCell ref="A16:D16"/>
    <mergeCell ref="A1:N1"/>
    <mergeCell ref="A2:N2"/>
    <mergeCell ref="A4:D6"/>
    <mergeCell ref="E4:E6"/>
    <mergeCell ref="F4:F6"/>
    <mergeCell ref="G4:I4"/>
    <mergeCell ref="J4:J6"/>
    <mergeCell ref="K4:K6"/>
    <mergeCell ref="L4:N4"/>
    <mergeCell ref="G5:H5"/>
    <mergeCell ref="I5:I6"/>
    <mergeCell ref="L5:L6"/>
    <mergeCell ref="M5:M6"/>
    <mergeCell ref="N5:N6"/>
    <mergeCell ref="A29:E29"/>
    <mergeCell ref="A31:N31"/>
    <mergeCell ref="A33:D35"/>
    <mergeCell ref="E33:E35"/>
    <mergeCell ref="F33:F35"/>
    <mergeCell ref="G33:I33"/>
    <mergeCell ref="J33:J35"/>
    <mergeCell ref="K33:K35"/>
    <mergeCell ref="L33:N33"/>
    <mergeCell ref="G34:H34"/>
    <mergeCell ref="I34:I35"/>
    <mergeCell ref="L34:L35"/>
    <mergeCell ref="M34:M35"/>
    <mergeCell ref="N34:N35"/>
    <mergeCell ref="A41:D41"/>
    <mergeCell ref="A43:E43"/>
    <mergeCell ref="A45:N45"/>
    <mergeCell ref="L37:N37"/>
    <mergeCell ref="A38:D38"/>
    <mergeCell ref="L38:N38"/>
    <mergeCell ref="A37:D37"/>
    <mergeCell ref="A39:D39"/>
    <mergeCell ref="L39:N39"/>
    <mergeCell ref="A40:D40"/>
    <mergeCell ref="L40:N40"/>
    <mergeCell ref="L41:N41"/>
    <mergeCell ref="A47:D49"/>
    <mergeCell ref="E47:E49"/>
    <mergeCell ref="F47:F49"/>
    <mergeCell ref="G47:I47"/>
    <mergeCell ref="J47:J49"/>
    <mergeCell ref="K47:K49"/>
    <mergeCell ref="L47:N47"/>
    <mergeCell ref="G48:H48"/>
    <mergeCell ref="I48:I49"/>
    <mergeCell ref="L48:L49"/>
    <mergeCell ref="M48:M49"/>
    <mergeCell ref="N48:N49"/>
    <mergeCell ref="A50:D50"/>
    <mergeCell ref="A51:D51"/>
    <mergeCell ref="A52:D52"/>
    <mergeCell ref="A53:D53"/>
    <mergeCell ref="A54:E54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89" firstPageNumber="12" fitToWidth="2" fitToHeight="200" orientation="landscape" useFirstPageNumber="1" r:id="rId1"/>
  <rowBreaks count="2" manualBreakCount="2">
    <brk id="17" max="13" man="1"/>
    <brk id="43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6"/>
  <sheetViews>
    <sheetView view="pageBreakPreview" zoomScale="80" zoomScaleNormal="100" zoomScaleSheetLayoutView="80" workbookViewId="0">
      <selection activeCell="A42" sqref="A42:XFD42"/>
    </sheetView>
  </sheetViews>
  <sheetFormatPr defaultColWidth="9.140625" defaultRowHeight="15" x14ac:dyDescent="0.25"/>
  <cols>
    <col min="1" max="1" width="9.28515625" style="53" bestFit="1" customWidth="1"/>
    <col min="2" max="2" width="6" style="53" customWidth="1"/>
    <col min="3" max="3" width="11.7109375" style="53" customWidth="1"/>
    <col min="4" max="4" width="7.7109375" style="53" customWidth="1"/>
    <col min="5" max="5" width="17.42578125" style="53" customWidth="1"/>
    <col min="6" max="6" width="9.28515625" style="53" bestFit="1" customWidth="1"/>
    <col min="7" max="7" width="11.85546875" style="53" bestFit="1" customWidth="1"/>
    <col min="8" max="8" width="10.140625" style="53" bestFit="1" customWidth="1"/>
    <col min="9" max="9" width="12" style="53" customWidth="1"/>
    <col min="10" max="10" width="10.28515625" style="53" bestFit="1" customWidth="1"/>
    <col min="11" max="11" width="9.5703125" style="53" bestFit="1" customWidth="1"/>
    <col min="12" max="13" width="10.140625" style="53" bestFit="1" customWidth="1"/>
    <col min="14" max="14" width="12.85546875" style="53" bestFit="1" customWidth="1"/>
    <col min="15" max="15" width="10.5703125" style="53" bestFit="1" customWidth="1"/>
    <col min="16" max="16" width="9.28515625" style="53" bestFit="1" customWidth="1"/>
    <col min="17" max="17" width="11.85546875" style="53" bestFit="1" customWidth="1"/>
    <col min="18" max="18" width="9.28515625" style="53" bestFit="1" customWidth="1"/>
    <col min="19" max="19" width="9.140625" style="53" customWidth="1"/>
    <col min="20" max="21" width="9.28515625" style="53" bestFit="1" customWidth="1"/>
    <col min="22" max="22" width="12.5703125" style="53" bestFit="1" customWidth="1"/>
    <col min="23" max="23" width="9.28515625" style="53" bestFit="1" customWidth="1"/>
    <col min="24" max="24" width="11.5703125" style="53" bestFit="1" customWidth="1"/>
    <col min="25" max="28" width="9.28515625" style="53" bestFit="1" customWidth="1"/>
    <col min="29" max="16384" width="9.140625" style="53"/>
  </cols>
  <sheetData>
    <row r="1" spans="1:17" s="105" customFormat="1" ht="18.75" x14ac:dyDescent="0.25">
      <c r="A1" s="401" t="s">
        <v>1081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</row>
    <row r="2" spans="1:17" s="105" customFormat="1" ht="18.75" x14ac:dyDescent="0.25">
      <c r="A2" s="401" t="s">
        <v>964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3" spans="1:17" s="105" customFormat="1" ht="18.75" x14ac:dyDescent="0.25">
      <c r="A3" s="465" t="s">
        <v>285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</row>
    <row r="4" spans="1:17" s="104" customFormat="1" x14ac:dyDescent="0.25">
      <c r="D4" s="103"/>
    </row>
    <row r="5" spans="1:17" s="104" customFormat="1" ht="118.15" customHeight="1" x14ac:dyDescent="0.25">
      <c r="A5" s="432" t="s">
        <v>30</v>
      </c>
      <c r="B5" s="432"/>
      <c r="C5" s="432"/>
      <c r="D5" s="432"/>
      <c r="E5" s="432"/>
      <c r="F5" s="432"/>
      <c r="G5" s="432" t="s">
        <v>9</v>
      </c>
      <c r="H5" s="432" t="s">
        <v>31</v>
      </c>
      <c r="I5" s="432" t="s">
        <v>32</v>
      </c>
      <c r="J5" s="432" t="s">
        <v>33</v>
      </c>
      <c r="K5" s="400" t="s">
        <v>345</v>
      </c>
      <c r="L5" s="400" t="s">
        <v>34</v>
      </c>
      <c r="M5" s="400"/>
      <c r="N5" s="400" t="s">
        <v>348</v>
      </c>
    </row>
    <row r="6" spans="1:17" s="104" customFormat="1" ht="70.150000000000006" customHeight="1" x14ac:dyDescent="0.25">
      <c r="A6" s="432" t="s">
        <v>18</v>
      </c>
      <c r="B6" s="432"/>
      <c r="C6" s="102" t="s">
        <v>3</v>
      </c>
      <c r="D6" s="102" t="s">
        <v>35</v>
      </c>
      <c r="E6" s="102" t="s">
        <v>36</v>
      </c>
      <c r="F6" s="102" t="s">
        <v>344</v>
      </c>
      <c r="G6" s="432"/>
      <c r="H6" s="432"/>
      <c r="I6" s="432"/>
      <c r="J6" s="432"/>
      <c r="K6" s="400"/>
      <c r="L6" s="101" t="s">
        <v>346</v>
      </c>
      <c r="M6" s="101" t="s">
        <v>347</v>
      </c>
      <c r="N6" s="400"/>
    </row>
    <row r="7" spans="1:17" s="104" customFormat="1" x14ac:dyDescent="0.25">
      <c r="A7" s="400">
        <v>1</v>
      </c>
      <c r="B7" s="400"/>
      <c r="C7" s="101">
        <v>2</v>
      </c>
      <c r="D7" s="101">
        <v>3</v>
      </c>
      <c r="E7" s="101">
        <v>4</v>
      </c>
      <c r="F7" s="101">
        <v>5</v>
      </c>
      <c r="G7" s="101">
        <v>6</v>
      </c>
      <c r="H7" s="101">
        <v>7</v>
      </c>
      <c r="I7" s="101">
        <v>8</v>
      </c>
      <c r="J7" s="101">
        <v>9</v>
      </c>
      <c r="K7" s="101">
        <v>10</v>
      </c>
      <c r="L7" s="101">
        <v>11</v>
      </c>
      <c r="M7" s="101">
        <v>12</v>
      </c>
      <c r="N7" s="101">
        <v>13</v>
      </c>
    </row>
    <row r="8" spans="1:17" s="104" customFormat="1" x14ac:dyDescent="0.25">
      <c r="A8" s="431"/>
      <c r="B8" s="431"/>
      <c r="C8" s="101"/>
      <c r="D8" s="101"/>
      <c r="E8" s="101"/>
      <c r="F8" s="101"/>
      <c r="G8" s="101">
        <v>1000</v>
      </c>
      <c r="H8" s="101"/>
      <c r="I8" s="101"/>
      <c r="J8" s="101"/>
      <c r="K8" s="101"/>
      <c r="L8" s="101"/>
      <c r="M8" s="101"/>
      <c r="N8" s="101"/>
    </row>
    <row r="9" spans="1:17" s="104" customFormat="1" x14ac:dyDescent="0.25">
      <c r="A9" s="431"/>
      <c r="B9" s="431"/>
      <c r="C9" s="101"/>
      <c r="D9" s="101"/>
      <c r="E9" s="101"/>
      <c r="F9" s="101"/>
      <c r="G9" s="101">
        <v>2000</v>
      </c>
      <c r="H9" s="101"/>
      <c r="I9" s="101"/>
      <c r="J9" s="101"/>
      <c r="K9" s="101"/>
      <c r="L9" s="101"/>
      <c r="M9" s="101"/>
      <c r="N9" s="101"/>
    </row>
    <row r="10" spans="1:17" s="104" customFormat="1" x14ac:dyDescent="0.25">
      <c r="A10" s="431"/>
      <c r="B10" s="43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</row>
    <row r="11" spans="1:17" s="104" customFormat="1" x14ac:dyDescent="0.25">
      <c r="A11" s="400" t="s">
        <v>20</v>
      </c>
      <c r="B11" s="400"/>
      <c r="C11" s="400"/>
      <c r="D11" s="400"/>
      <c r="E11" s="400"/>
      <c r="F11" s="400"/>
      <c r="G11" s="101">
        <v>9000</v>
      </c>
      <c r="H11" s="101"/>
      <c r="I11" s="101" t="s">
        <v>21</v>
      </c>
      <c r="J11" s="101" t="s">
        <v>21</v>
      </c>
      <c r="K11" s="101"/>
      <c r="L11" s="101"/>
      <c r="M11" s="101"/>
      <c r="N11" s="101"/>
    </row>
    <row r="12" spans="1:17" s="104" customFormat="1" x14ac:dyDescent="0.25"/>
    <row r="13" spans="1:17" s="104" customFormat="1" x14ac:dyDescent="0.25">
      <c r="A13" s="464" t="s">
        <v>37</v>
      </c>
      <c r="B13" s="464"/>
      <c r="C13" s="464"/>
      <c r="D13" s="464"/>
    </row>
    <row r="14" spans="1:17" s="104" customFormat="1" ht="41.25" customHeight="1" x14ac:dyDescent="0.25">
      <c r="A14" s="463" t="s">
        <v>38</v>
      </c>
      <c r="B14" s="463"/>
      <c r="C14" s="463"/>
      <c r="D14" s="463"/>
      <c r="E14" s="463"/>
      <c r="F14" s="463"/>
      <c r="G14" s="463"/>
      <c r="H14" s="463"/>
      <c r="I14" s="463"/>
      <c r="J14" s="463"/>
      <c r="K14" s="463"/>
      <c r="L14" s="463"/>
      <c r="M14" s="463"/>
      <c r="N14" s="463"/>
      <c r="O14" s="71"/>
      <c r="P14" s="71"/>
      <c r="Q14" s="71"/>
    </row>
    <row r="15" spans="1:17" s="104" customFormat="1" x14ac:dyDescent="0.25">
      <c r="A15" s="464" t="s">
        <v>39</v>
      </c>
      <c r="B15" s="464"/>
      <c r="C15" s="464"/>
      <c r="D15" s="464"/>
      <c r="E15" s="464"/>
      <c r="F15" s="464"/>
      <c r="G15" s="464"/>
      <c r="H15" s="464"/>
      <c r="I15" s="464"/>
      <c r="J15" s="464"/>
      <c r="K15" s="464"/>
      <c r="L15" s="464"/>
      <c r="M15" s="464"/>
      <c r="N15" s="464"/>
    </row>
    <row r="16" spans="1:17" s="104" customFormat="1" x14ac:dyDescent="0.25">
      <c r="D16" s="103"/>
    </row>
  </sheetData>
  <mergeCells count="20">
    <mergeCell ref="A1:N1"/>
    <mergeCell ref="A2:N2"/>
    <mergeCell ref="A3:N3"/>
    <mergeCell ref="A5:F5"/>
    <mergeCell ref="G5:G6"/>
    <mergeCell ref="H5:H6"/>
    <mergeCell ref="I5:I6"/>
    <mergeCell ref="J5:J6"/>
    <mergeCell ref="K5:K6"/>
    <mergeCell ref="L5:M5"/>
    <mergeCell ref="N5:N6"/>
    <mergeCell ref="A14:N14"/>
    <mergeCell ref="A13:D13"/>
    <mergeCell ref="A15:N15"/>
    <mergeCell ref="A6:B6"/>
    <mergeCell ref="A7:B7"/>
    <mergeCell ref="A8:B8"/>
    <mergeCell ref="A9:B9"/>
    <mergeCell ref="A10:B10"/>
    <mergeCell ref="A11:F11"/>
  </mergeCells>
  <pageMargins left="0.39370078740157483" right="0.39370078740157483" top="0.78740157480314965" bottom="0.39370078740157483" header="0.31496062992125984" footer="0.31496062992125984"/>
  <pageSetup paperSize="9" scale="93" firstPageNumber="12" fitToWidth="2" fitToHeight="200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26"/>
  <sheetViews>
    <sheetView zoomScale="80" zoomScaleNormal="80" workbookViewId="0">
      <selection activeCell="F27" sqref="F27"/>
    </sheetView>
  </sheetViews>
  <sheetFormatPr defaultRowHeight="15" x14ac:dyDescent="0.25"/>
  <cols>
    <col min="1" max="1" width="60.28515625" customWidth="1"/>
    <col min="3" max="3" width="18.5703125" customWidth="1"/>
    <col min="4" max="4" width="15.5703125" customWidth="1"/>
    <col min="5" max="5" width="15.85546875" customWidth="1"/>
    <col min="6" max="6" width="16.140625" customWidth="1"/>
  </cols>
  <sheetData>
    <row r="2" spans="1:17" ht="18.75" x14ac:dyDescent="0.25">
      <c r="B2" s="402" t="s">
        <v>1099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</row>
    <row r="3" spans="1:17" ht="18.75" x14ac:dyDescent="0.3">
      <c r="B3" s="423" t="s">
        <v>1494</v>
      </c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3"/>
      <c r="Q3" s="423"/>
    </row>
    <row r="5" spans="1:17" ht="150" customHeight="1" x14ac:dyDescent="0.25">
      <c r="A5" s="468" t="s">
        <v>40</v>
      </c>
      <c r="B5" s="466" t="s">
        <v>9</v>
      </c>
      <c r="C5" s="466" t="s">
        <v>1361</v>
      </c>
      <c r="D5" s="466" t="s">
        <v>1082</v>
      </c>
      <c r="E5" s="466" t="s">
        <v>1362</v>
      </c>
      <c r="F5" s="466" t="s">
        <v>1363</v>
      </c>
      <c r="G5" s="466" t="s">
        <v>1083</v>
      </c>
      <c r="H5" s="466" t="s">
        <v>1084</v>
      </c>
      <c r="I5" s="466" t="s">
        <v>1085</v>
      </c>
      <c r="J5" s="466" t="s">
        <v>1086</v>
      </c>
      <c r="K5" s="466" t="s">
        <v>1087</v>
      </c>
      <c r="L5" s="466" t="s">
        <v>1364</v>
      </c>
      <c r="M5" s="466" t="s">
        <v>1365</v>
      </c>
      <c r="N5" s="466" t="s">
        <v>1088</v>
      </c>
      <c r="O5" s="466" t="s">
        <v>1089</v>
      </c>
      <c r="P5" s="466" t="s">
        <v>1090</v>
      </c>
    </row>
    <row r="6" spans="1:17" x14ac:dyDescent="0.25">
      <c r="A6" s="469"/>
      <c r="B6" s="467"/>
      <c r="C6" s="467"/>
      <c r="D6" s="467"/>
      <c r="E6" s="467"/>
      <c r="F6" s="467"/>
      <c r="G6" s="467"/>
      <c r="H6" s="467"/>
      <c r="I6" s="467"/>
      <c r="J6" s="467"/>
      <c r="K6" s="467"/>
      <c r="L6" s="467"/>
      <c r="M6" s="467"/>
      <c r="N6" s="467"/>
      <c r="O6" s="467"/>
      <c r="P6" s="467"/>
    </row>
    <row r="7" spans="1:17" x14ac:dyDescent="0.25">
      <c r="A7" s="354">
        <v>1</v>
      </c>
      <c r="B7" s="354">
        <v>2</v>
      </c>
      <c r="C7" s="354">
        <v>3</v>
      </c>
      <c r="D7" s="354">
        <v>4</v>
      </c>
      <c r="E7" s="354">
        <v>5</v>
      </c>
      <c r="F7" s="354">
        <v>6</v>
      </c>
      <c r="G7" s="354">
        <v>7</v>
      </c>
      <c r="H7" s="354">
        <v>8</v>
      </c>
      <c r="I7" s="354">
        <v>9</v>
      </c>
      <c r="J7" s="354">
        <v>10</v>
      </c>
      <c r="K7" s="354">
        <v>11</v>
      </c>
      <c r="L7" s="354">
        <v>12</v>
      </c>
      <c r="M7" s="354">
        <v>13</v>
      </c>
      <c r="N7" s="354">
        <v>14</v>
      </c>
      <c r="O7" s="354">
        <v>15</v>
      </c>
      <c r="P7" s="354">
        <v>16</v>
      </c>
    </row>
    <row r="8" spans="1:17" x14ac:dyDescent="0.25">
      <c r="A8" s="275" t="s">
        <v>51</v>
      </c>
      <c r="B8" s="275">
        <v>1000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</row>
    <row r="9" spans="1:17" x14ac:dyDescent="0.25">
      <c r="A9" s="275" t="s">
        <v>52</v>
      </c>
      <c r="B9" s="275">
        <v>2000</v>
      </c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</row>
    <row r="10" spans="1:17" x14ac:dyDescent="0.25">
      <c r="A10" s="275" t="s">
        <v>53</v>
      </c>
      <c r="B10" s="275">
        <v>3000</v>
      </c>
      <c r="C10" s="361">
        <f>C14+C15</f>
        <v>547277.22</v>
      </c>
      <c r="D10" s="361">
        <f>C10</f>
        <v>547277.22</v>
      </c>
      <c r="E10" s="361">
        <f>E14+E15</f>
        <v>1090815.1200000001</v>
      </c>
      <c r="F10" s="361">
        <f>E10</f>
        <v>1090815.1200000001</v>
      </c>
      <c r="G10" s="275"/>
      <c r="H10" s="275"/>
      <c r="I10" s="275"/>
      <c r="J10" s="275"/>
      <c r="K10" s="275"/>
      <c r="L10" s="275"/>
      <c r="M10" s="275"/>
      <c r="N10" s="275"/>
      <c r="O10" s="275"/>
      <c r="P10" s="275"/>
    </row>
    <row r="11" spans="1:17" x14ac:dyDescent="0.25">
      <c r="A11" s="275" t="s">
        <v>54</v>
      </c>
      <c r="B11" s="275">
        <v>3100</v>
      </c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</row>
    <row r="12" spans="1:17" ht="30" x14ac:dyDescent="0.25">
      <c r="A12" s="275" t="s">
        <v>55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</row>
    <row r="13" spans="1:17" ht="30" x14ac:dyDescent="0.25">
      <c r="A13" s="275" t="s">
        <v>56</v>
      </c>
      <c r="B13" s="275">
        <v>3200</v>
      </c>
      <c r="C13" s="275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</row>
    <row r="14" spans="1:17" ht="30" x14ac:dyDescent="0.25">
      <c r="A14" s="275" t="s">
        <v>57</v>
      </c>
      <c r="B14" s="275">
        <v>3300</v>
      </c>
      <c r="C14" s="361">
        <v>201523</v>
      </c>
      <c r="D14" s="361">
        <v>201523</v>
      </c>
      <c r="E14" s="361">
        <v>190875</v>
      </c>
      <c r="F14" s="361">
        <v>190875</v>
      </c>
      <c r="G14" s="275"/>
      <c r="H14" s="275"/>
      <c r="I14" s="275"/>
      <c r="J14" s="275"/>
      <c r="K14" s="275"/>
      <c r="L14" s="275"/>
      <c r="M14" s="275"/>
      <c r="N14" s="275"/>
      <c r="O14" s="275"/>
      <c r="P14" s="275"/>
    </row>
    <row r="15" spans="1:17" ht="30" x14ac:dyDescent="0.25">
      <c r="A15" s="275" t="s">
        <v>58</v>
      </c>
      <c r="B15" s="275">
        <v>3400</v>
      </c>
      <c r="C15" s="361">
        <v>345754.22</v>
      </c>
      <c r="D15" s="361">
        <f>C15</f>
        <v>345754.22</v>
      </c>
      <c r="E15" s="361">
        <v>899940.12</v>
      </c>
      <c r="F15" s="361">
        <f>E15</f>
        <v>899940.12</v>
      </c>
      <c r="G15" s="275"/>
      <c r="H15" s="275"/>
      <c r="I15" s="275"/>
      <c r="J15" s="275"/>
      <c r="K15" s="275"/>
      <c r="L15" s="275"/>
      <c r="M15" s="275"/>
      <c r="N15" s="275"/>
      <c r="O15" s="275"/>
      <c r="P15" s="275"/>
    </row>
    <row r="16" spans="1:17" x14ac:dyDescent="0.25">
      <c r="A16" s="275" t="s">
        <v>59</v>
      </c>
      <c r="B16" s="275">
        <v>3410</v>
      </c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</row>
    <row r="17" spans="1:16" x14ac:dyDescent="0.25">
      <c r="A17" s="275" t="s">
        <v>1360</v>
      </c>
      <c r="B17" s="275"/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</row>
    <row r="18" spans="1:16" ht="30" x14ac:dyDescent="0.25">
      <c r="A18" s="275" t="s">
        <v>60</v>
      </c>
      <c r="B18" s="275">
        <v>3420</v>
      </c>
      <c r="C18" s="275"/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</row>
    <row r="19" spans="1:16" ht="30" x14ac:dyDescent="0.25">
      <c r="A19" s="275" t="s">
        <v>61</v>
      </c>
      <c r="B19" s="275">
        <v>3430</v>
      </c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</row>
    <row r="20" spans="1:16" x14ac:dyDescent="0.25">
      <c r="A20" s="275" t="s">
        <v>62</v>
      </c>
      <c r="B20" s="275">
        <v>4000</v>
      </c>
      <c r="C20" s="361"/>
      <c r="D20" s="275"/>
      <c r="E20" s="361">
        <v>11913.97</v>
      </c>
      <c r="F20" s="361">
        <v>11913.97</v>
      </c>
      <c r="G20" s="275"/>
      <c r="H20" s="275"/>
      <c r="I20" s="275"/>
      <c r="J20" s="275"/>
      <c r="K20" s="275"/>
      <c r="L20" s="275"/>
      <c r="M20" s="275"/>
      <c r="N20" s="275"/>
      <c r="O20" s="275"/>
      <c r="P20" s="275"/>
    </row>
    <row r="21" spans="1:16" x14ac:dyDescent="0.25">
      <c r="A21" s="275" t="s">
        <v>59</v>
      </c>
      <c r="B21" s="275">
        <v>4100</v>
      </c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</row>
    <row r="22" spans="1:16" x14ac:dyDescent="0.25">
      <c r="A22" s="275" t="s">
        <v>63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</row>
    <row r="23" spans="1:16" x14ac:dyDescent="0.25">
      <c r="A23" s="275" t="s">
        <v>64</v>
      </c>
      <c r="B23" s="275">
        <v>5000</v>
      </c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</row>
    <row r="24" spans="1:16" x14ac:dyDescent="0.25">
      <c r="A24" s="275" t="s">
        <v>59</v>
      </c>
      <c r="B24" s="275">
        <v>5100</v>
      </c>
      <c r="C24" s="275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</row>
    <row r="25" spans="1:16" x14ac:dyDescent="0.25">
      <c r="A25" s="275" t="s">
        <v>65</v>
      </c>
      <c r="B25" s="275"/>
      <c r="C25" s="275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</row>
    <row r="26" spans="1:16" x14ac:dyDescent="0.25">
      <c r="A26" s="275" t="s">
        <v>20</v>
      </c>
      <c r="B26" s="275">
        <v>9000</v>
      </c>
      <c r="C26" s="361">
        <f>C10</f>
        <v>547277.22</v>
      </c>
      <c r="D26" s="361">
        <f>D10</f>
        <v>547277.22</v>
      </c>
      <c r="E26" s="361">
        <f>E10+E20</f>
        <v>1102729.0900000001</v>
      </c>
      <c r="F26" s="361">
        <f>E26</f>
        <v>1102729.0900000001</v>
      </c>
      <c r="G26" s="275"/>
      <c r="H26" s="275"/>
      <c r="I26" s="275"/>
      <c r="J26" s="275"/>
      <c r="K26" s="275"/>
      <c r="L26" s="275"/>
      <c r="M26" s="275"/>
      <c r="N26" s="275"/>
      <c r="O26" s="275"/>
      <c r="P26" s="275"/>
    </row>
  </sheetData>
  <mergeCells count="18">
    <mergeCell ref="A5:A6"/>
    <mergeCell ref="B5:B6"/>
    <mergeCell ref="C5:C6"/>
    <mergeCell ref="D5:D6"/>
    <mergeCell ref="E5:E6"/>
    <mergeCell ref="M5:M6"/>
    <mergeCell ref="K5:K6"/>
    <mergeCell ref="F5:F6"/>
    <mergeCell ref="B2:Q2"/>
    <mergeCell ref="B3:Q3"/>
    <mergeCell ref="J5:J6"/>
    <mergeCell ref="I5:I6"/>
    <mergeCell ref="H5:H6"/>
    <mergeCell ref="G5:G6"/>
    <mergeCell ref="L5:L6"/>
    <mergeCell ref="P5:P6"/>
    <mergeCell ref="O5:O6"/>
    <mergeCell ref="N5:N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2"/>
  <sheetViews>
    <sheetView view="pageBreakPreview" zoomScale="80" zoomScaleNormal="100" zoomScaleSheetLayoutView="80" workbookViewId="0">
      <selection activeCell="A42" sqref="A42:XFD42"/>
    </sheetView>
  </sheetViews>
  <sheetFormatPr defaultColWidth="9.140625" defaultRowHeight="15" x14ac:dyDescent="0.25"/>
  <cols>
    <col min="1" max="1" width="9.28515625" style="115" bestFit="1" customWidth="1"/>
    <col min="2" max="2" width="6" style="115" customWidth="1"/>
    <col min="3" max="3" width="11.7109375" style="115" customWidth="1"/>
    <col min="4" max="4" width="7.7109375" style="115" customWidth="1"/>
    <col min="5" max="5" width="17.42578125" style="115" customWidth="1"/>
    <col min="6" max="6" width="9.28515625" style="115" bestFit="1" customWidth="1"/>
    <col min="7" max="7" width="11.85546875" style="115" bestFit="1" customWidth="1"/>
    <col min="8" max="8" width="10.140625" style="115" bestFit="1" customWidth="1"/>
    <col min="9" max="9" width="12" style="115" customWidth="1"/>
    <col min="10" max="10" width="10.28515625" style="115" bestFit="1" customWidth="1"/>
    <col min="11" max="11" width="9.5703125" style="115" bestFit="1" customWidth="1"/>
    <col min="12" max="13" width="10.140625" style="115" bestFit="1" customWidth="1"/>
    <col min="14" max="14" width="12.85546875" style="115" bestFit="1" customWidth="1"/>
    <col min="15" max="15" width="10.5703125" style="115" bestFit="1" customWidth="1"/>
    <col min="16" max="16" width="9.28515625" style="115" bestFit="1" customWidth="1"/>
    <col min="17" max="17" width="11.85546875" style="115" bestFit="1" customWidth="1"/>
    <col min="18" max="18" width="9.28515625" style="115" bestFit="1" customWidth="1"/>
    <col min="19" max="19" width="9.140625" style="115" customWidth="1"/>
    <col min="20" max="21" width="9.28515625" style="115" bestFit="1" customWidth="1"/>
    <col min="22" max="22" width="12.5703125" style="115" bestFit="1" customWidth="1"/>
    <col min="23" max="23" width="9.28515625" style="115" bestFit="1" customWidth="1"/>
    <col min="24" max="24" width="11.5703125" style="115" bestFit="1" customWidth="1"/>
    <col min="25" max="28" width="9.28515625" style="115" bestFit="1" customWidth="1"/>
    <col min="29" max="16384" width="9.140625" style="115"/>
  </cols>
  <sheetData>
    <row r="1" spans="1:19" s="116" customFormat="1" ht="18.75" x14ac:dyDescent="0.25">
      <c r="A1" s="401" t="s">
        <v>1091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</row>
    <row r="2" spans="1:19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9" x14ac:dyDescent="0.25">
      <c r="D3" s="114"/>
    </row>
    <row r="4" spans="1:19" ht="57.6" customHeight="1" x14ac:dyDescent="0.25">
      <c r="A4" s="400" t="s">
        <v>40</v>
      </c>
      <c r="B4" s="400"/>
      <c r="C4" s="400"/>
      <c r="D4" s="400" t="s">
        <v>9</v>
      </c>
      <c r="E4" s="432" t="s">
        <v>41</v>
      </c>
      <c r="F4" s="432"/>
      <c r="G4" s="400" t="s">
        <v>42</v>
      </c>
      <c r="H4" s="400"/>
      <c r="I4" s="400"/>
      <c r="J4" s="432" t="s">
        <v>43</v>
      </c>
      <c r="K4" s="432"/>
      <c r="L4" s="432"/>
      <c r="M4" s="432"/>
      <c r="N4" s="432"/>
      <c r="O4" s="432"/>
      <c r="P4" s="432" t="s">
        <v>44</v>
      </c>
      <c r="Q4" s="432"/>
      <c r="R4" s="400" t="s">
        <v>355</v>
      </c>
      <c r="S4" s="400" t="s">
        <v>356</v>
      </c>
    </row>
    <row r="5" spans="1:19" x14ac:dyDescent="0.25">
      <c r="A5" s="400"/>
      <c r="B5" s="400"/>
      <c r="C5" s="400"/>
      <c r="D5" s="400"/>
      <c r="E5" s="432" t="s">
        <v>15</v>
      </c>
      <c r="F5" s="432" t="s">
        <v>349</v>
      </c>
      <c r="G5" s="432" t="s">
        <v>45</v>
      </c>
      <c r="H5" s="432"/>
      <c r="I5" s="432" t="s">
        <v>46</v>
      </c>
      <c r="J5" s="432" t="s">
        <v>15</v>
      </c>
      <c r="K5" s="432" t="s">
        <v>349</v>
      </c>
      <c r="L5" s="432" t="s">
        <v>47</v>
      </c>
      <c r="M5" s="432"/>
      <c r="N5" s="432"/>
      <c r="O5" s="432"/>
      <c r="P5" s="432" t="s">
        <v>48</v>
      </c>
      <c r="Q5" s="432" t="s">
        <v>49</v>
      </c>
      <c r="R5" s="400"/>
      <c r="S5" s="400"/>
    </row>
    <row r="6" spans="1:19" ht="70.900000000000006" customHeight="1" x14ac:dyDescent="0.25">
      <c r="A6" s="400"/>
      <c r="B6" s="400"/>
      <c r="C6" s="400"/>
      <c r="D6" s="400"/>
      <c r="E6" s="432"/>
      <c r="F6" s="432"/>
      <c r="G6" s="113" t="s">
        <v>350</v>
      </c>
      <c r="H6" s="113" t="s">
        <v>50</v>
      </c>
      <c r="I6" s="432"/>
      <c r="J6" s="432"/>
      <c r="K6" s="432"/>
      <c r="L6" s="113" t="s">
        <v>351</v>
      </c>
      <c r="M6" s="113" t="s">
        <v>352</v>
      </c>
      <c r="N6" s="113" t="s">
        <v>353</v>
      </c>
      <c r="O6" s="113" t="s">
        <v>354</v>
      </c>
      <c r="P6" s="432"/>
      <c r="Q6" s="432"/>
      <c r="R6" s="400"/>
      <c r="S6" s="400"/>
    </row>
    <row r="7" spans="1:19" x14ac:dyDescent="0.25">
      <c r="A7" s="400">
        <v>1</v>
      </c>
      <c r="B7" s="400"/>
      <c r="C7" s="400"/>
      <c r="D7" s="112">
        <v>2</v>
      </c>
      <c r="E7" s="112">
        <v>3</v>
      </c>
      <c r="F7" s="112">
        <v>4</v>
      </c>
      <c r="G7" s="112">
        <v>5</v>
      </c>
      <c r="H7" s="112">
        <v>6</v>
      </c>
      <c r="I7" s="112">
        <v>7</v>
      </c>
      <c r="J7" s="112">
        <v>8</v>
      </c>
      <c r="K7" s="112">
        <v>9</v>
      </c>
      <c r="L7" s="112">
        <v>10</v>
      </c>
      <c r="M7" s="112">
        <v>11</v>
      </c>
      <c r="N7" s="112">
        <v>12</v>
      </c>
      <c r="O7" s="112">
        <v>13</v>
      </c>
      <c r="P7" s="112">
        <v>14</v>
      </c>
      <c r="Q7" s="112">
        <v>15</v>
      </c>
      <c r="R7" s="112">
        <v>16</v>
      </c>
      <c r="S7" s="112">
        <v>17</v>
      </c>
    </row>
    <row r="8" spans="1:19" ht="24" customHeight="1" x14ac:dyDescent="0.25">
      <c r="A8" s="424" t="s">
        <v>51</v>
      </c>
      <c r="B8" s="424"/>
      <c r="C8" s="424"/>
      <c r="D8" s="112">
        <v>1000</v>
      </c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</row>
    <row r="9" spans="1:19" ht="28.15" customHeight="1" x14ac:dyDescent="0.25">
      <c r="A9" s="424" t="s">
        <v>52</v>
      </c>
      <c r="B9" s="424"/>
      <c r="C9" s="424"/>
      <c r="D9" s="112">
        <v>2000</v>
      </c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</row>
    <row r="10" spans="1:19" ht="27" customHeight="1" x14ac:dyDescent="0.25">
      <c r="A10" s="424" t="s">
        <v>53</v>
      </c>
      <c r="B10" s="424"/>
      <c r="C10" s="424"/>
      <c r="D10" s="112">
        <v>3000</v>
      </c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</row>
    <row r="11" spans="1:19" x14ac:dyDescent="0.25">
      <c r="A11" s="396" t="s">
        <v>54</v>
      </c>
      <c r="B11" s="396"/>
      <c r="C11" s="396"/>
      <c r="D11" s="400">
        <v>3100</v>
      </c>
      <c r="E11" s="400"/>
      <c r="F11" s="400"/>
      <c r="G11" s="400"/>
      <c r="H11" s="400"/>
      <c r="I11" s="400"/>
      <c r="J11" s="400"/>
      <c r="K11" s="400"/>
      <c r="L11" s="400"/>
      <c r="M11" s="400"/>
      <c r="N11" s="400"/>
      <c r="O11" s="400"/>
      <c r="P11" s="400"/>
      <c r="Q11" s="400"/>
      <c r="R11" s="400"/>
      <c r="S11" s="400"/>
    </row>
    <row r="12" spans="1:19" ht="42.6" customHeight="1" x14ac:dyDescent="0.25">
      <c r="A12" s="396" t="s">
        <v>55</v>
      </c>
      <c r="B12" s="396"/>
      <c r="C12" s="396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400"/>
      <c r="O12" s="400"/>
      <c r="P12" s="400"/>
      <c r="Q12" s="400"/>
      <c r="R12" s="400"/>
      <c r="S12" s="400"/>
    </row>
    <row r="13" spans="1:19" ht="41.45" customHeight="1" x14ac:dyDescent="0.25">
      <c r="A13" s="396" t="s">
        <v>56</v>
      </c>
      <c r="B13" s="396"/>
      <c r="C13" s="396"/>
      <c r="D13" s="112">
        <v>3200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</row>
    <row r="14" spans="1:19" ht="54" customHeight="1" x14ac:dyDescent="0.25">
      <c r="A14" s="396" t="s">
        <v>57</v>
      </c>
      <c r="B14" s="396"/>
      <c r="C14" s="396"/>
      <c r="D14" s="112">
        <v>3300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</row>
    <row r="15" spans="1:19" ht="42" customHeight="1" x14ac:dyDescent="0.25">
      <c r="A15" s="396" t="s">
        <v>58</v>
      </c>
      <c r="B15" s="396"/>
      <c r="C15" s="396"/>
      <c r="D15" s="112">
        <v>3400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</row>
    <row r="16" spans="1:19" x14ac:dyDescent="0.25">
      <c r="A16" s="472" t="s">
        <v>59</v>
      </c>
      <c r="B16" s="472"/>
      <c r="C16" s="472"/>
      <c r="D16" s="400">
        <v>3410</v>
      </c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400"/>
      <c r="P16" s="400"/>
      <c r="Q16" s="400"/>
      <c r="R16" s="400"/>
      <c r="S16" s="400"/>
    </row>
    <row r="17" spans="1:19" ht="29.45" customHeight="1" x14ac:dyDescent="0.25">
      <c r="A17" s="472" t="s">
        <v>261</v>
      </c>
      <c r="B17" s="472"/>
      <c r="C17" s="472"/>
      <c r="D17" s="400"/>
      <c r="E17" s="400"/>
      <c r="F17" s="400"/>
      <c r="G17" s="400"/>
      <c r="H17" s="400"/>
      <c r="I17" s="400"/>
      <c r="J17" s="400"/>
      <c r="K17" s="400"/>
      <c r="L17" s="400"/>
      <c r="M17" s="400"/>
      <c r="N17" s="400"/>
      <c r="O17" s="400"/>
      <c r="P17" s="400"/>
      <c r="Q17" s="400"/>
      <c r="R17" s="400"/>
      <c r="S17" s="400"/>
    </row>
    <row r="18" spans="1:19" ht="69.75" customHeight="1" x14ac:dyDescent="0.25">
      <c r="A18" s="472" t="s">
        <v>60</v>
      </c>
      <c r="B18" s="472"/>
      <c r="C18" s="472"/>
      <c r="D18" s="112">
        <v>3420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</row>
    <row r="19" spans="1:19" ht="66.75" customHeight="1" x14ac:dyDescent="0.25">
      <c r="A19" s="472" t="s">
        <v>61</v>
      </c>
      <c r="B19" s="472"/>
      <c r="C19" s="472"/>
      <c r="D19" s="112">
        <v>3430</v>
      </c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</row>
    <row r="20" spans="1:19" ht="28.15" customHeight="1" x14ac:dyDescent="0.25">
      <c r="A20" s="424" t="s">
        <v>62</v>
      </c>
      <c r="B20" s="424"/>
      <c r="C20" s="424"/>
      <c r="D20" s="112">
        <v>4000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</row>
    <row r="21" spans="1:19" x14ac:dyDescent="0.25">
      <c r="A21" s="396" t="s">
        <v>59</v>
      </c>
      <c r="B21" s="396"/>
      <c r="C21" s="396"/>
      <c r="D21" s="400">
        <v>4100</v>
      </c>
      <c r="E21" s="400"/>
      <c r="F21" s="400"/>
      <c r="G21" s="400"/>
      <c r="H21" s="400"/>
      <c r="I21" s="400"/>
      <c r="J21" s="400"/>
      <c r="K21" s="400"/>
      <c r="L21" s="400"/>
      <c r="M21" s="400"/>
      <c r="N21" s="400"/>
      <c r="O21" s="400"/>
      <c r="P21" s="400"/>
      <c r="Q21" s="400"/>
      <c r="R21" s="400"/>
      <c r="S21" s="400"/>
    </row>
    <row r="22" spans="1:19" ht="16.149999999999999" customHeight="1" x14ac:dyDescent="0.25">
      <c r="A22" s="396" t="s">
        <v>63</v>
      </c>
      <c r="B22" s="396"/>
      <c r="C22" s="396"/>
      <c r="D22" s="400"/>
      <c r="E22" s="400"/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  <c r="Q22" s="400"/>
      <c r="R22" s="400"/>
      <c r="S22" s="400"/>
    </row>
    <row r="23" spans="1:19" ht="28.15" customHeight="1" x14ac:dyDescent="0.25">
      <c r="A23" s="424" t="s">
        <v>64</v>
      </c>
      <c r="B23" s="424"/>
      <c r="C23" s="424"/>
      <c r="D23" s="112">
        <v>5000</v>
      </c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</row>
    <row r="24" spans="1:19" x14ac:dyDescent="0.25">
      <c r="A24" s="396" t="s">
        <v>59</v>
      </c>
      <c r="B24" s="396"/>
      <c r="C24" s="396"/>
      <c r="D24" s="400">
        <v>5100</v>
      </c>
      <c r="E24" s="400"/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  <c r="Q24" s="400"/>
      <c r="R24" s="400"/>
      <c r="S24" s="400"/>
    </row>
    <row r="25" spans="1:19" ht="40.5" customHeight="1" x14ac:dyDescent="0.25">
      <c r="A25" s="396" t="s">
        <v>65</v>
      </c>
      <c r="B25" s="396"/>
      <c r="C25" s="396"/>
      <c r="D25" s="400"/>
      <c r="E25" s="400"/>
      <c r="F25" s="400"/>
      <c r="G25" s="400"/>
      <c r="H25" s="400"/>
      <c r="I25" s="400"/>
      <c r="J25" s="400"/>
      <c r="K25" s="400"/>
      <c r="L25" s="400"/>
      <c r="M25" s="400"/>
      <c r="N25" s="400"/>
      <c r="O25" s="400"/>
      <c r="P25" s="400"/>
      <c r="Q25" s="400"/>
      <c r="R25" s="400"/>
      <c r="S25" s="400"/>
    </row>
    <row r="26" spans="1:19" x14ac:dyDescent="0.25">
      <c r="A26" s="424" t="s">
        <v>20</v>
      </c>
      <c r="B26" s="424"/>
      <c r="C26" s="424"/>
      <c r="D26" s="112">
        <v>9000</v>
      </c>
      <c r="E26" s="112"/>
      <c r="F26" s="112" t="s">
        <v>21</v>
      </c>
      <c r="G26" s="112"/>
      <c r="H26" s="112"/>
      <c r="I26" s="112"/>
      <c r="J26" s="112" t="s">
        <v>21</v>
      </c>
      <c r="K26" s="112"/>
      <c r="L26" s="112"/>
      <c r="M26" s="112"/>
      <c r="N26" s="112"/>
      <c r="O26" s="112"/>
      <c r="P26" s="112"/>
      <c r="Q26" s="112"/>
      <c r="R26" s="112"/>
      <c r="S26" s="112"/>
    </row>
    <row r="28" spans="1:19" x14ac:dyDescent="0.25">
      <c r="A28" s="464" t="s">
        <v>37</v>
      </c>
      <c r="B28" s="464"/>
      <c r="C28" s="464"/>
      <c r="D28" s="464"/>
    </row>
    <row r="29" spans="1:19" x14ac:dyDescent="0.25">
      <c r="A29" s="470" t="s">
        <v>312</v>
      </c>
      <c r="B29" s="470"/>
      <c r="C29" s="470"/>
      <c r="D29" s="470"/>
      <c r="E29" s="470"/>
      <c r="F29" s="470"/>
      <c r="G29" s="470"/>
      <c r="H29" s="470"/>
      <c r="I29" s="470"/>
      <c r="J29" s="470"/>
      <c r="K29" s="470"/>
      <c r="L29" s="470"/>
      <c r="M29" s="470"/>
      <c r="N29" s="470"/>
    </row>
    <row r="30" spans="1:19" ht="16.5" customHeight="1" x14ac:dyDescent="0.25">
      <c r="A30" s="471" t="s">
        <v>313</v>
      </c>
      <c r="B30" s="471"/>
      <c r="C30" s="471"/>
      <c r="D30" s="471"/>
      <c r="E30" s="471"/>
      <c r="F30" s="471"/>
      <c r="G30" s="471"/>
      <c r="H30" s="471"/>
      <c r="I30" s="471"/>
      <c r="J30" s="471"/>
      <c r="K30" s="471"/>
      <c r="L30" s="471"/>
      <c r="M30" s="471"/>
      <c r="N30" s="471"/>
    </row>
    <row r="31" spans="1:19" ht="28.9" customHeight="1" x14ac:dyDescent="0.25">
      <c r="A31" s="471" t="s">
        <v>314</v>
      </c>
      <c r="B31" s="471"/>
      <c r="C31" s="471"/>
      <c r="D31" s="471"/>
      <c r="E31" s="471"/>
      <c r="F31" s="471"/>
      <c r="G31" s="471"/>
      <c r="H31" s="471"/>
      <c r="I31" s="471"/>
      <c r="J31" s="471"/>
      <c r="K31" s="471"/>
      <c r="L31" s="471"/>
      <c r="M31" s="471"/>
      <c r="N31" s="471"/>
    </row>
    <row r="32" spans="1:19" x14ac:dyDescent="0.25">
      <c r="A32" s="463" t="s">
        <v>66</v>
      </c>
      <c r="B32" s="463"/>
      <c r="C32" s="463"/>
      <c r="D32" s="463"/>
      <c r="E32" s="463"/>
      <c r="F32" s="463"/>
      <c r="G32" s="463"/>
      <c r="H32" s="463"/>
      <c r="I32" s="463"/>
      <c r="J32" s="463"/>
      <c r="K32" s="463"/>
      <c r="L32" s="463"/>
      <c r="M32" s="463"/>
      <c r="N32" s="463"/>
    </row>
  </sheetData>
  <mergeCells count="107">
    <mergeCell ref="A4:C6"/>
    <mergeCell ref="D4:D6"/>
    <mergeCell ref="E4:F4"/>
    <mergeCell ref="G4:I4"/>
    <mergeCell ref="J4:O4"/>
    <mergeCell ref="P4:Q4"/>
    <mergeCell ref="Q5:Q6"/>
    <mergeCell ref="S11:S12"/>
    <mergeCell ref="R4:R6"/>
    <mergeCell ref="S4:S6"/>
    <mergeCell ref="E5:E6"/>
    <mergeCell ref="F5:F6"/>
    <mergeCell ref="G5:H5"/>
    <mergeCell ref="I5:I6"/>
    <mergeCell ref="J5:J6"/>
    <mergeCell ref="K5:K6"/>
    <mergeCell ref="L5:O5"/>
    <mergeCell ref="P5:P6"/>
    <mergeCell ref="F11:F12"/>
    <mergeCell ref="G11:G12"/>
    <mergeCell ref="H11:H12"/>
    <mergeCell ref="I11:I12"/>
    <mergeCell ref="J11:J12"/>
    <mergeCell ref="A7:C7"/>
    <mergeCell ref="A8:C8"/>
    <mergeCell ref="A9:C9"/>
    <mergeCell ref="A10:C10"/>
    <mergeCell ref="A11:C11"/>
    <mergeCell ref="D11:D12"/>
    <mergeCell ref="A15:C15"/>
    <mergeCell ref="A16:C16"/>
    <mergeCell ref="D16:D17"/>
    <mergeCell ref="E16:E17"/>
    <mergeCell ref="Q11:Q12"/>
    <mergeCell ref="R11:R12"/>
    <mergeCell ref="N16:N17"/>
    <mergeCell ref="O16:O17"/>
    <mergeCell ref="P16:P17"/>
    <mergeCell ref="Q16:Q17"/>
    <mergeCell ref="R16:R17"/>
    <mergeCell ref="A12:C12"/>
    <mergeCell ref="A13:C13"/>
    <mergeCell ref="A14:C14"/>
    <mergeCell ref="K11:K12"/>
    <mergeCell ref="L11:L12"/>
    <mergeCell ref="M11:M12"/>
    <mergeCell ref="N11:N12"/>
    <mergeCell ref="O11:O12"/>
    <mergeCell ref="P11:P12"/>
    <mergeCell ref="E11:E12"/>
    <mergeCell ref="A18:C18"/>
    <mergeCell ref="A19:C19"/>
    <mergeCell ref="A20:C20"/>
    <mergeCell ref="A21:C21"/>
    <mergeCell ref="D21:D22"/>
    <mergeCell ref="E21:E22"/>
    <mergeCell ref="S16:S17"/>
    <mergeCell ref="H16:H17"/>
    <mergeCell ref="I16:I17"/>
    <mergeCell ref="J16:J17"/>
    <mergeCell ref="K16:K17"/>
    <mergeCell ref="L16:L17"/>
    <mergeCell ref="M16:M17"/>
    <mergeCell ref="P21:P22"/>
    <mergeCell ref="Q21:Q22"/>
    <mergeCell ref="F16:F17"/>
    <mergeCell ref="G16:G17"/>
    <mergeCell ref="A17:C17"/>
    <mergeCell ref="D24:D25"/>
    <mergeCell ref="E24:E25"/>
    <mergeCell ref="F24:F25"/>
    <mergeCell ref="G24:G25"/>
    <mergeCell ref="H24:H25"/>
    <mergeCell ref="L21:L22"/>
    <mergeCell ref="M21:M22"/>
    <mergeCell ref="N21:N22"/>
    <mergeCell ref="O21:O22"/>
    <mergeCell ref="F21:F22"/>
    <mergeCell ref="G21:G22"/>
    <mergeCell ref="H21:H22"/>
    <mergeCell ref="I21:I22"/>
    <mergeCell ref="J21:J22"/>
    <mergeCell ref="K21:K22"/>
    <mergeCell ref="A1:S1"/>
    <mergeCell ref="A26:C26"/>
    <mergeCell ref="A28:D28"/>
    <mergeCell ref="A29:N29"/>
    <mergeCell ref="A30:N30"/>
    <mergeCell ref="A31:N31"/>
    <mergeCell ref="A32:N32"/>
    <mergeCell ref="O24:O25"/>
    <mergeCell ref="P24:P25"/>
    <mergeCell ref="Q24:Q25"/>
    <mergeCell ref="R24:R25"/>
    <mergeCell ref="S24:S25"/>
    <mergeCell ref="A25:C25"/>
    <mergeCell ref="I24:I25"/>
    <mergeCell ref="J24:J25"/>
    <mergeCell ref="K24:K25"/>
    <mergeCell ref="L24:L25"/>
    <mergeCell ref="M24:M25"/>
    <mergeCell ref="N24:N25"/>
    <mergeCell ref="R21:R22"/>
    <mergeCell ref="S21:S22"/>
    <mergeCell ref="A22:C22"/>
    <mergeCell ref="A23:C23"/>
    <mergeCell ref="A24:C24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55" firstPageNumber="12" fitToWidth="2" fitToHeight="200" orientation="landscape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5"/>
  <sheetViews>
    <sheetView view="pageBreakPreview" zoomScale="80" zoomScaleNormal="100" zoomScaleSheetLayoutView="80" workbookViewId="0">
      <selection activeCell="A42" sqref="A42:XFD42"/>
    </sheetView>
  </sheetViews>
  <sheetFormatPr defaultColWidth="9.140625" defaultRowHeight="15" x14ac:dyDescent="0.25"/>
  <cols>
    <col min="1" max="1" width="9.28515625" style="115" bestFit="1" customWidth="1"/>
    <col min="2" max="2" width="6" style="115" customWidth="1"/>
    <col min="3" max="3" width="11.7109375" style="115" customWidth="1"/>
    <col min="4" max="4" width="7.7109375" style="115" customWidth="1"/>
    <col min="5" max="5" width="17.42578125" style="115" customWidth="1"/>
    <col min="6" max="6" width="9.28515625" style="115" bestFit="1" customWidth="1"/>
    <col min="7" max="7" width="11.85546875" style="115" bestFit="1" customWidth="1"/>
    <col min="8" max="8" width="10.140625" style="115" bestFit="1" customWidth="1"/>
    <col min="9" max="9" width="12" style="115" customWidth="1"/>
    <col min="10" max="10" width="10.28515625" style="115" bestFit="1" customWidth="1"/>
    <col min="11" max="11" width="9.5703125" style="115" bestFit="1" customWidth="1"/>
    <col min="12" max="13" width="10.140625" style="115" bestFit="1" customWidth="1"/>
    <col min="14" max="14" width="12.85546875" style="115" bestFit="1" customWidth="1"/>
    <col min="15" max="15" width="10.5703125" style="115" bestFit="1" customWidth="1"/>
    <col min="16" max="16" width="9.28515625" style="115" bestFit="1" customWidth="1"/>
    <col min="17" max="17" width="11.85546875" style="115" bestFit="1" customWidth="1"/>
    <col min="18" max="18" width="9.28515625" style="115" bestFit="1" customWidth="1"/>
    <col min="19" max="19" width="9.140625" style="115" customWidth="1"/>
    <col min="20" max="21" width="9.28515625" style="115" bestFit="1" customWidth="1"/>
    <col min="22" max="22" width="12.5703125" style="115" bestFit="1" customWidth="1"/>
    <col min="23" max="23" width="9.28515625" style="115" bestFit="1" customWidth="1"/>
    <col min="24" max="24" width="11.5703125" style="115" bestFit="1" customWidth="1"/>
    <col min="25" max="28" width="9.28515625" style="115" bestFit="1" customWidth="1"/>
    <col min="29" max="16384" width="9.140625" style="115"/>
  </cols>
  <sheetData>
    <row r="1" spans="1:17" s="116" customFormat="1" ht="18.75" x14ac:dyDescent="0.25">
      <c r="A1" s="401" t="s">
        <v>1092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</row>
    <row r="2" spans="1:17" x14ac:dyDescent="0.25">
      <c r="D2" s="114"/>
    </row>
    <row r="3" spans="1:17" ht="65.45" customHeight="1" x14ac:dyDescent="0.25">
      <c r="A3" s="400" t="s">
        <v>40</v>
      </c>
      <c r="B3" s="400"/>
      <c r="C3" s="400"/>
      <c r="D3" s="400" t="s">
        <v>9</v>
      </c>
      <c r="E3" s="400" t="s">
        <v>67</v>
      </c>
      <c r="F3" s="400"/>
      <c r="G3" s="400" t="s">
        <v>68</v>
      </c>
      <c r="H3" s="400"/>
      <c r="I3" s="400"/>
      <c r="J3" s="400" t="s">
        <v>69</v>
      </c>
      <c r="K3" s="400"/>
      <c r="L3" s="400"/>
      <c r="M3" s="400"/>
      <c r="N3" s="400" t="s">
        <v>70</v>
      </c>
      <c r="O3" s="400"/>
      <c r="P3" s="400" t="s">
        <v>71</v>
      </c>
      <c r="Q3" s="400"/>
    </row>
    <row r="4" spans="1:17" ht="30" customHeight="1" x14ac:dyDescent="0.25">
      <c r="A4" s="400"/>
      <c r="B4" s="400"/>
      <c r="C4" s="400"/>
      <c r="D4" s="400"/>
      <c r="E4" s="400" t="s">
        <v>15</v>
      </c>
      <c r="F4" s="400" t="s">
        <v>72</v>
      </c>
      <c r="G4" s="400" t="s">
        <v>15</v>
      </c>
      <c r="H4" s="400" t="s">
        <v>54</v>
      </c>
      <c r="I4" s="400"/>
      <c r="J4" s="400" t="s">
        <v>15</v>
      </c>
      <c r="K4" s="400" t="s">
        <v>73</v>
      </c>
      <c r="L4" s="400"/>
      <c r="M4" s="400" t="s">
        <v>359</v>
      </c>
      <c r="N4" s="400" t="s">
        <v>15</v>
      </c>
      <c r="O4" s="400" t="s">
        <v>360</v>
      </c>
      <c r="P4" s="400" t="s">
        <v>15</v>
      </c>
      <c r="Q4" s="400" t="s">
        <v>72</v>
      </c>
    </row>
    <row r="5" spans="1:17" ht="91.15" customHeight="1" x14ac:dyDescent="0.25">
      <c r="A5" s="400"/>
      <c r="B5" s="400"/>
      <c r="C5" s="400"/>
      <c r="D5" s="400"/>
      <c r="E5" s="400"/>
      <c r="F5" s="400"/>
      <c r="G5" s="400"/>
      <c r="H5" s="112" t="s">
        <v>357</v>
      </c>
      <c r="I5" s="112" t="s">
        <v>358</v>
      </c>
      <c r="J5" s="400"/>
      <c r="K5" s="112" t="s">
        <v>15</v>
      </c>
      <c r="L5" s="112" t="s">
        <v>74</v>
      </c>
      <c r="M5" s="400"/>
      <c r="N5" s="400"/>
      <c r="O5" s="400"/>
      <c r="P5" s="400"/>
      <c r="Q5" s="400"/>
    </row>
    <row r="6" spans="1:17" x14ac:dyDescent="0.25">
      <c r="A6" s="400">
        <v>1</v>
      </c>
      <c r="B6" s="400"/>
      <c r="C6" s="400"/>
      <c r="D6" s="112">
        <v>2</v>
      </c>
      <c r="E6" s="112">
        <v>3</v>
      </c>
      <c r="F6" s="112">
        <v>4</v>
      </c>
      <c r="G6" s="112">
        <v>5</v>
      </c>
      <c r="H6" s="112">
        <v>6</v>
      </c>
      <c r="I6" s="112">
        <v>7</v>
      </c>
      <c r="J6" s="112">
        <v>8</v>
      </c>
      <c r="K6" s="112">
        <v>9</v>
      </c>
      <c r="L6" s="112">
        <v>10</v>
      </c>
      <c r="M6" s="112">
        <v>11</v>
      </c>
      <c r="N6" s="112">
        <v>12</v>
      </c>
      <c r="O6" s="112">
        <v>13</v>
      </c>
      <c r="P6" s="112">
        <v>14</v>
      </c>
      <c r="Q6" s="112">
        <v>15</v>
      </c>
    </row>
    <row r="7" spans="1:17" ht="26.45" customHeight="1" x14ac:dyDescent="0.25">
      <c r="A7" s="473" t="s">
        <v>75</v>
      </c>
      <c r="B7" s="473"/>
      <c r="C7" s="473"/>
      <c r="D7" s="112">
        <v>100</v>
      </c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</row>
    <row r="8" spans="1:17" x14ac:dyDescent="0.25">
      <c r="A8" s="396" t="s">
        <v>54</v>
      </c>
      <c r="B8" s="396"/>
      <c r="C8" s="396"/>
      <c r="D8" s="400">
        <v>110</v>
      </c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0"/>
      <c r="Q8" s="400"/>
    </row>
    <row r="9" spans="1:17" ht="26.25" customHeight="1" x14ac:dyDescent="0.25">
      <c r="A9" s="396" t="s">
        <v>76</v>
      </c>
      <c r="B9" s="396"/>
      <c r="C9" s="396"/>
      <c r="D9" s="400"/>
      <c r="E9" s="400"/>
      <c r="F9" s="400"/>
      <c r="G9" s="400"/>
      <c r="H9" s="400"/>
      <c r="I9" s="400"/>
      <c r="J9" s="400"/>
      <c r="K9" s="400"/>
      <c r="L9" s="400"/>
      <c r="M9" s="400"/>
      <c r="N9" s="400"/>
      <c r="O9" s="400"/>
      <c r="P9" s="400"/>
      <c r="Q9" s="400"/>
    </row>
    <row r="10" spans="1:17" x14ac:dyDescent="0.25">
      <c r="A10" s="472" t="s">
        <v>59</v>
      </c>
      <c r="B10" s="472"/>
      <c r="C10" s="472"/>
      <c r="D10" s="400">
        <v>111</v>
      </c>
      <c r="E10" s="400"/>
      <c r="F10" s="400"/>
      <c r="G10" s="400"/>
      <c r="H10" s="400"/>
      <c r="I10" s="400"/>
      <c r="J10" s="400" t="s">
        <v>21</v>
      </c>
      <c r="K10" s="400"/>
      <c r="L10" s="400" t="s">
        <v>21</v>
      </c>
      <c r="M10" s="400" t="s">
        <v>21</v>
      </c>
      <c r="N10" s="400"/>
      <c r="O10" s="400"/>
      <c r="P10" s="400"/>
      <c r="Q10" s="400"/>
    </row>
    <row r="11" spans="1:17" ht="42.6" customHeight="1" x14ac:dyDescent="0.25">
      <c r="A11" s="472" t="s">
        <v>77</v>
      </c>
      <c r="B11" s="472"/>
      <c r="C11" s="472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400"/>
      <c r="O11" s="400"/>
      <c r="P11" s="400"/>
      <c r="Q11" s="400"/>
    </row>
    <row r="12" spans="1:17" ht="55.15" customHeight="1" x14ac:dyDescent="0.25">
      <c r="A12" s="396" t="s">
        <v>78</v>
      </c>
      <c r="B12" s="396"/>
      <c r="C12" s="396"/>
      <c r="D12" s="112">
        <v>120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</row>
    <row r="13" spans="1:17" ht="30.6" customHeight="1" x14ac:dyDescent="0.25">
      <c r="A13" s="396" t="s">
        <v>79</v>
      </c>
      <c r="B13" s="396"/>
      <c r="C13" s="396"/>
      <c r="D13" s="112">
        <v>130</v>
      </c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7" ht="41.45" customHeight="1" x14ac:dyDescent="0.25">
      <c r="A14" s="473" t="s">
        <v>80</v>
      </c>
      <c r="B14" s="473"/>
      <c r="C14" s="473"/>
      <c r="D14" s="112">
        <v>200</v>
      </c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7" x14ac:dyDescent="0.25">
      <c r="A15" s="396" t="s">
        <v>54</v>
      </c>
      <c r="B15" s="396"/>
      <c r="C15" s="396"/>
      <c r="D15" s="400">
        <v>210</v>
      </c>
      <c r="E15" s="400"/>
      <c r="F15" s="400"/>
      <c r="G15" s="400"/>
      <c r="H15" s="400"/>
      <c r="I15" s="400"/>
      <c r="J15" s="400"/>
      <c r="K15" s="400"/>
      <c r="L15" s="400"/>
      <c r="M15" s="400"/>
      <c r="N15" s="400"/>
      <c r="O15" s="400"/>
      <c r="P15" s="400"/>
      <c r="Q15" s="400"/>
    </row>
    <row r="16" spans="1:17" ht="26.45" customHeight="1" x14ac:dyDescent="0.25">
      <c r="A16" s="396" t="s">
        <v>81</v>
      </c>
      <c r="B16" s="396"/>
      <c r="C16" s="396"/>
      <c r="D16" s="400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400"/>
      <c r="P16" s="400"/>
      <c r="Q16" s="400"/>
    </row>
    <row r="17" spans="1:17" x14ac:dyDescent="0.25">
      <c r="A17" s="472" t="s">
        <v>59</v>
      </c>
      <c r="B17" s="472"/>
      <c r="C17" s="472"/>
      <c r="D17" s="400">
        <v>211</v>
      </c>
      <c r="E17" s="400"/>
      <c r="F17" s="400"/>
      <c r="G17" s="400"/>
      <c r="H17" s="400"/>
      <c r="I17" s="400"/>
      <c r="J17" s="400"/>
      <c r="K17" s="400"/>
      <c r="L17" s="400"/>
      <c r="M17" s="400"/>
      <c r="N17" s="400"/>
      <c r="O17" s="400"/>
      <c r="P17" s="400"/>
      <c r="Q17" s="400"/>
    </row>
    <row r="18" spans="1:17" ht="41.45" customHeight="1" x14ac:dyDescent="0.25">
      <c r="A18" s="472" t="s">
        <v>77</v>
      </c>
      <c r="B18" s="472"/>
      <c r="C18" s="472"/>
      <c r="D18" s="400"/>
      <c r="E18" s="400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0"/>
    </row>
    <row r="19" spans="1:17" ht="26.45" customHeight="1" x14ac:dyDescent="0.25">
      <c r="A19" s="396" t="s">
        <v>82</v>
      </c>
      <c r="B19" s="396"/>
      <c r="C19" s="396"/>
      <c r="D19" s="112">
        <v>220</v>
      </c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</row>
    <row r="20" spans="1:17" ht="40.9" customHeight="1" x14ac:dyDescent="0.25">
      <c r="A20" s="396" t="s">
        <v>83</v>
      </c>
      <c r="B20" s="396"/>
      <c r="C20" s="396"/>
      <c r="D20" s="112">
        <v>230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</row>
    <row r="21" spans="1:17" ht="42.75" customHeight="1" x14ac:dyDescent="0.25">
      <c r="A21" s="473" t="s">
        <v>84</v>
      </c>
      <c r="B21" s="473"/>
      <c r="C21" s="473"/>
      <c r="D21" s="112">
        <v>300</v>
      </c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</row>
    <row r="22" spans="1:17" x14ac:dyDescent="0.25">
      <c r="A22" s="396" t="s">
        <v>54</v>
      </c>
      <c r="B22" s="396"/>
      <c r="C22" s="396"/>
      <c r="D22" s="400">
        <v>310</v>
      </c>
      <c r="E22" s="400"/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  <c r="Q22" s="400"/>
    </row>
    <row r="23" spans="1:17" ht="40.15" customHeight="1" x14ac:dyDescent="0.25">
      <c r="A23" s="396" t="s">
        <v>85</v>
      </c>
      <c r="B23" s="396"/>
      <c r="C23" s="396"/>
      <c r="D23" s="400"/>
      <c r="E23" s="400"/>
      <c r="F23" s="400"/>
      <c r="G23" s="400"/>
      <c r="H23" s="400"/>
      <c r="I23" s="400"/>
      <c r="J23" s="400"/>
      <c r="K23" s="400"/>
      <c r="L23" s="400"/>
      <c r="M23" s="400"/>
      <c r="N23" s="400"/>
      <c r="O23" s="400"/>
      <c r="P23" s="400"/>
      <c r="Q23" s="400"/>
    </row>
    <row r="24" spans="1:17" ht="44.45" customHeight="1" x14ac:dyDescent="0.25">
      <c r="A24" s="396" t="s">
        <v>86</v>
      </c>
      <c r="B24" s="396"/>
      <c r="C24" s="396"/>
      <c r="D24" s="112">
        <v>320</v>
      </c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</row>
    <row r="25" spans="1:17" ht="26.45" customHeight="1" x14ac:dyDescent="0.25">
      <c r="A25" s="473" t="s">
        <v>20</v>
      </c>
      <c r="B25" s="473"/>
      <c r="C25" s="473"/>
      <c r="D25" s="112">
        <v>9000</v>
      </c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</row>
  </sheetData>
  <mergeCells count="109">
    <mergeCell ref="P3:Q3"/>
    <mergeCell ref="E4:E5"/>
    <mergeCell ref="F4:F5"/>
    <mergeCell ref="G4:G5"/>
    <mergeCell ref="H4:I4"/>
    <mergeCell ref="J4:J5"/>
    <mergeCell ref="K4:L4"/>
    <mergeCell ref="M4:M5"/>
    <mergeCell ref="N4:N5"/>
    <mergeCell ref="O4:O5"/>
    <mergeCell ref="E3:F3"/>
    <mergeCell ref="G3:I3"/>
    <mergeCell ref="J3:M3"/>
    <mergeCell ref="N3:O3"/>
    <mergeCell ref="P4:P5"/>
    <mergeCell ref="Q4:Q5"/>
    <mergeCell ref="A6:C6"/>
    <mergeCell ref="A7:C7"/>
    <mergeCell ref="A8:C8"/>
    <mergeCell ref="D8:D9"/>
    <mergeCell ref="E8:E9"/>
    <mergeCell ref="F8:F9"/>
    <mergeCell ref="G8:G9"/>
    <mergeCell ref="H8:H9"/>
    <mergeCell ref="A3:C5"/>
    <mergeCell ref="D3:D5"/>
    <mergeCell ref="O8:O9"/>
    <mergeCell ref="P8:P9"/>
    <mergeCell ref="Q8:Q9"/>
    <mergeCell ref="A9:C9"/>
    <mergeCell ref="A10:C10"/>
    <mergeCell ref="D10:D11"/>
    <mergeCell ref="E10:E11"/>
    <mergeCell ref="F10:F11"/>
    <mergeCell ref="G10:G11"/>
    <mergeCell ref="H10:H11"/>
    <mergeCell ref="I8:I9"/>
    <mergeCell ref="J8:J9"/>
    <mergeCell ref="K8:K9"/>
    <mergeCell ref="L8:L9"/>
    <mergeCell ref="M8:M9"/>
    <mergeCell ref="N8:N9"/>
    <mergeCell ref="A14:C14"/>
    <mergeCell ref="A15:C15"/>
    <mergeCell ref="D15:D16"/>
    <mergeCell ref="E15:E16"/>
    <mergeCell ref="F15:F16"/>
    <mergeCell ref="G15:G16"/>
    <mergeCell ref="O10:O11"/>
    <mergeCell ref="P10:P11"/>
    <mergeCell ref="Q10:Q11"/>
    <mergeCell ref="A11:C11"/>
    <mergeCell ref="A12:C12"/>
    <mergeCell ref="A13:C13"/>
    <mergeCell ref="I10:I11"/>
    <mergeCell ref="J10:J11"/>
    <mergeCell ref="K10:K11"/>
    <mergeCell ref="L10:L11"/>
    <mergeCell ref="M10:M11"/>
    <mergeCell ref="N10:N11"/>
    <mergeCell ref="N15:N16"/>
    <mergeCell ref="O15:O16"/>
    <mergeCell ref="P15:P16"/>
    <mergeCell ref="Q15:Q16"/>
    <mergeCell ref="A16:C16"/>
    <mergeCell ref="L15:L16"/>
    <mergeCell ref="M15:M16"/>
    <mergeCell ref="Q17:Q18"/>
    <mergeCell ref="A18:C18"/>
    <mergeCell ref="A19:C19"/>
    <mergeCell ref="H17:H18"/>
    <mergeCell ref="I17:I18"/>
    <mergeCell ref="J17:J18"/>
    <mergeCell ref="K17:K18"/>
    <mergeCell ref="L17:L18"/>
    <mergeCell ref="M17:M18"/>
    <mergeCell ref="A17:C17"/>
    <mergeCell ref="D17:D18"/>
    <mergeCell ref="E17:E18"/>
    <mergeCell ref="F17:F18"/>
    <mergeCell ref="G17:G18"/>
    <mergeCell ref="H15:H16"/>
    <mergeCell ref="I15:I16"/>
    <mergeCell ref="J15:J16"/>
    <mergeCell ref="K15:K16"/>
    <mergeCell ref="A1:Q1"/>
    <mergeCell ref="A24:C24"/>
    <mergeCell ref="A25:C25"/>
    <mergeCell ref="M22:M23"/>
    <mergeCell ref="N22:N23"/>
    <mergeCell ref="O22:O23"/>
    <mergeCell ref="P22:P23"/>
    <mergeCell ref="Q22:Q23"/>
    <mergeCell ref="A23:C23"/>
    <mergeCell ref="G22:G23"/>
    <mergeCell ref="H22:H23"/>
    <mergeCell ref="I22:I23"/>
    <mergeCell ref="J22:J23"/>
    <mergeCell ref="K22:K23"/>
    <mergeCell ref="L22:L23"/>
    <mergeCell ref="A20:C20"/>
    <mergeCell ref="A21:C21"/>
    <mergeCell ref="A22:C22"/>
    <mergeCell ref="D22:D23"/>
    <mergeCell ref="E22:E23"/>
    <mergeCell ref="F22:F23"/>
    <mergeCell ref="N17:N18"/>
    <mergeCell ref="O17:O18"/>
    <mergeCell ref="P17:P18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63" firstPageNumber="12" fitToWidth="2" fitToHeight="20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28</vt:i4>
      </vt:variant>
    </vt:vector>
  </HeadingPairs>
  <TitlesOfParts>
    <vt:vector size="55" baseType="lpstr">
      <vt:lpstr>1.1.1</vt:lpstr>
      <vt:lpstr>1.1.2</vt:lpstr>
      <vt:lpstr>1.2.1 (новый)</vt:lpstr>
      <vt:lpstr>1.2.2 (новый)</vt:lpstr>
      <vt:lpstr>1.3</vt:lpstr>
      <vt:lpstr>1.4</vt:lpstr>
      <vt:lpstr>1.5</vt:lpstr>
      <vt:lpstr>1.6</vt:lpstr>
      <vt:lpstr>1.7</vt:lpstr>
      <vt:lpstr>1.8.1</vt:lpstr>
      <vt:lpstr>1.8.2</vt:lpstr>
      <vt:lpstr>1.9</vt:lpstr>
      <vt:lpstr>2.1</vt:lpstr>
      <vt:lpstr>2.2</vt:lpstr>
      <vt:lpstr>2.3</vt:lpstr>
      <vt:lpstr>2.4.1</vt:lpstr>
      <vt:lpstr>2.4.2</vt:lpstr>
      <vt:lpstr>2.4.3</vt:lpstr>
      <vt:lpstr>2.5.1</vt:lpstr>
      <vt:lpstr>2.5.2</vt:lpstr>
      <vt:lpstr>2.5.3</vt:lpstr>
      <vt:lpstr>2.5.4</vt:lpstr>
      <vt:lpstr>2.6</vt:lpstr>
      <vt:lpstr>ОС</vt:lpstr>
      <vt:lpstr>платные услуги</vt:lpstr>
      <vt:lpstr>платная деят-ть (ЦПП)</vt:lpstr>
      <vt:lpstr>ЖКУ по помещениям</vt:lpstr>
      <vt:lpstr>'1.1.1'!Заголовки_для_печати</vt:lpstr>
      <vt:lpstr>'1.1.2'!Заголовки_для_печати</vt:lpstr>
      <vt:lpstr>'1.2.1 (новый)'!Заголовки_для_печати</vt:lpstr>
      <vt:lpstr>'1.2.2 (новый)'!Заголовки_для_печати</vt:lpstr>
      <vt:lpstr>'1.6'!Заголовки_для_печати</vt:lpstr>
      <vt:lpstr>'1.7'!Заголовки_для_печати</vt:lpstr>
      <vt:lpstr>'1.8.2'!Заголовки_для_печати</vt:lpstr>
      <vt:lpstr>'2.1'!Заголовки_для_печати</vt:lpstr>
      <vt:lpstr>'2.2'!Заголовки_для_печати</vt:lpstr>
      <vt:lpstr>'2.4.1'!Заголовки_для_печати</vt:lpstr>
      <vt:lpstr>'2.4.2'!Заголовки_для_печати</vt:lpstr>
      <vt:lpstr>'2.4.3'!Заголовки_для_печати</vt:lpstr>
      <vt:lpstr>'2.5.1'!Заголовки_для_печати</vt:lpstr>
      <vt:lpstr>'2.5.2'!Заголовки_для_печати</vt:lpstr>
      <vt:lpstr>'2.5.3'!Заголовки_для_печати</vt:lpstr>
      <vt:lpstr>'2.5.4'!Заголовки_для_печати</vt:lpstr>
      <vt:lpstr>'2.6'!Заголовки_для_печати</vt:lpstr>
      <vt:lpstr>'1.1.1'!Область_печати</vt:lpstr>
      <vt:lpstr>'1.1.2'!Область_печати</vt:lpstr>
      <vt:lpstr>'1.2.2 (новый)'!Область_печати</vt:lpstr>
      <vt:lpstr>'1.3'!Область_печати</vt:lpstr>
      <vt:lpstr>'1.8.1'!Область_печати</vt:lpstr>
      <vt:lpstr>'1.9'!Область_печати</vt:lpstr>
      <vt:lpstr>'2.1'!Область_печати</vt:lpstr>
      <vt:lpstr>'2.4.3'!Область_печати</vt:lpstr>
      <vt:lpstr>'2.5.2'!Область_печати</vt:lpstr>
      <vt:lpstr>'2.6'!Область_печати</vt:lpstr>
      <vt:lpstr>'ЖКУ по помещениям'!Область_печати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Объедков Владимир Владимирович</dc:creator>
  <cp:lastModifiedBy>Никулина Наталья</cp:lastModifiedBy>
  <cp:lastPrinted>2025-02-24T08:50:35Z</cp:lastPrinted>
  <dcterms:created xsi:type="dcterms:W3CDTF">2022-06-30T03:40:18Z</dcterms:created>
  <dcterms:modified xsi:type="dcterms:W3CDTF">2025-03-27T05:06:50Z</dcterms:modified>
</cp:coreProperties>
</file>